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Default Extension="pptx" ContentType="application/vnd.openxmlformats-officedocument.presentationml.presentation"/>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40" firstSheet="2" activeTab="2"/>
  </bookViews>
  <sheets>
    <sheet name="instructions1" sheetId="1" state="hidden" r:id="rId1"/>
    <sheet name="Sheet2" sheetId="2" state="hidden" r:id="rId2"/>
    <sheet name="it data" sheetId="3" r:id="rId3"/>
    <sheet name="it pro" sheetId="4" state="hidden" r:id="rId4"/>
    <sheet name="ITAnnexure-I" sheetId="5" r:id="rId5"/>
    <sheet name="ITAnnexure-II" sheetId="6" r:id="rId6"/>
    <sheet name="form 16 page 1" sheetId="7" r:id="rId7"/>
    <sheet name="form 16 page 2" sheetId="8" r:id="rId8"/>
    <sheet name="Rent receipt" sheetId="9" r:id="rId9"/>
    <sheet name="form10-1A" sheetId="10" state="hidden" r:id="rId10"/>
    <sheet name="form10-1" sheetId="11" state="hidden" r:id="rId11"/>
    <sheet name="Sheet4" sheetId="12" state="hidden" r:id="rId12"/>
    <sheet name="Sheet1" sheetId="13" state="hidden" r:id="rId13"/>
    <sheet name="RUPEES CONVERSATION" sheetId="14" state="hidden" r:id="rId14"/>
    <sheet name="HRA CALCULATION" sheetId="15" r:id="rId15"/>
  </sheets>
  <externalReferences>
    <externalReference r:id="rId18"/>
    <externalReference r:id="rId19"/>
    <externalReference r:id="rId20"/>
    <externalReference r:id="rId21"/>
    <externalReference r:id="rId22"/>
    <externalReference r:id="rId23"/>
  </externalReferences>
  <definedNames>
    <definedName name="_xlnm._FilterDatabase" localSheetId="4" hidden="1">'ITAnnexure-I'!$AA$3:$AA$27</definedName>
    <definedName name="BB">#REF!</definedName>
    <definedName name="D">'[1]DROPDOWN'!$B$1</definedName>
    <definedName name="F">#REF!</definedName>
    <definedName name="I">'[2]DROPDOWN'!$B$1</definedName>
    <definedName name="INC">#REF!</definedName>
    <definedName name="J">'[2]DROPDOWN'!$D$1</definedName>
    <definedName name="K">'[4]Sheet2'!$K$12</definedName>
    <definedName name="op">'[5]DROPDOWN'!$B$1</definedName>
    <definedName name="P">'[6]DATA'!$D$20</definedName>
    <definedName name="_xlnm.Print_Area" localSheetId="6">'form 16 page 1'!$B$1:$N$63</definedName>
    <definedName name="_xlnm.Print_Area" localSheetId="7">'form 16 page 2'!$B$2:$M$63</definedName>
    <definedName name="_xlnm.Print_Area" localSheetId="9">'form10-1A'!$A$1:$I$30</definedName>
    <definedName name="_xlnm.Print_Area" localSheetId="0">'instructions1'!$A$2:$C$69</definedName>
    <definedName name="_xlnm.Print_Area" localSheetId="4">'ITAnnexure-I'!$A$1:$Z$29</definedName>
    <definedName name="_xlnm.Print_Area" localSheetId="5">'ITAnnexure-II'!$B$2:$M$72</definedName>
    <definedName name="_xlnm.Print_Area" localSheetId="8">'Rent receipt'!$B$2:$Z$49</definedName>
    <definedName name="SL">'[6]DATA'!#REF!</definedName>
    <definedName name="UTI">#REF!</definedName>
    <definedName name="V">#REF!</definedName>
    <definedName name="Z_0721B718_7113_42F6_80A7_4159C9B46316_.wvu.Cols">'it data'!$IE:$II</definedName>
    <definedName name="Z_0721B718_7113_42F6_80A7_4159C9B46316_.wvu.Cols_1">'it pro'!$AU:$BA</definedName>
    <definedName name="Z_0721B718_7113_42F6_80A7_4159C9B46316_.wvu.Cols_2">'ITAnnexure-I'!$AB:$AD</definedName>
    <definedName name="Z_0721B718_7113_42F6_80A7_4159C9B46316_.wvu.Cols_3">'ITAnnexure-II'!$Q:$Q</definedName>
    <definedName name="Z_0721B718_7113_42F6_80A7_4159C9B46316_.wvu.Cols_4">'Rent receipt'!$AD:$IV</definedName>
    <definedName name="Z_0721B718_7113_42F6_80A7_4159C9B46316_.wvu.Cols_5">'RUPEES CONVERSATION'!$C:$DE</definedName>
    <definedName name="Z_0721B718_7113_42F6_80A7_4159C9B46316_.wvu.Cols_6">'Sheet1'!$A:$B</definedName>
    <definedName name="Z_0721B718_7113_42F6_80A7_4159C9B46316_.wvu.FilterData">'ITAnnexure-I'!$AA$3:$AA$27</definedName>
    <definedName name="Z_0721B718_7113_42F6_80A7_4159C9B46316_.wvu.PrintArea">'form 16 page 1'!$B$1:$N$63</definedName>
    <definedName name="Z_0721B718_7113_42F6_80A7_4159C9B46316_.wvu.PrintArea_1">'form 16 page 2'!$B$2:$M$63</definedName>
    <definedName name="Z_0721B718_7113_42F6_80A7_4159C9B46316_.wvu.PrintArea_2">'form10-1A'!$A$1:$I$30</definedName>
    <definedName name="Z_0721B718_7113_42F6_80A7_4159C9B46316_.wvu.PrintArea_3">'ITAnnexure-I'!$A$1:$Z$29</definedName>
    <definedName name="Z_0721B718_7113_42F6_80A7_4159C9B46316_.wvu.PrintArea_4">'ITAnnexure-II'!$B$2:$M$72</definedName>
    <definedName name="Z_0721B718_7113_42F6_80A7_4159C9B46316_.wvu.PrintArea_5">'Rent receipt'!$B$2:$Z$49</definedName>
    <definedName name="Z_0721B718_7113_42F6_80A7_4159C9B46316_.wvu.Rows">'form 16 page 2'!$133:$268</definedName>
    <definedName name="Z_0721B718_7113_42F6_80A7_4159C9B46316_.wvu.Rows_1">'ITAnnexure-I'!$2:$2</definedName>
    <definedName name="Z_0721B718_7113_42F6_80A7_4159C9B46316_.wvu.Rows_2">('Rent receipt'!$227:$65536,'Rent receipt'!$34:$36)</definedName>
    <definedName name="Z_0721B718_7113_42F6_80A7_4159C9B46316_.wvu.Rows_3">'RUPEES CONVERSATION'!$1:$14</definedName>
    <definedName name="Z_0721B718_7113_42F6_80A7_4159C9B46316_.wvu.Rows_4">'Sheet2'!$1:$27</definedName>
    <definedName name="Z_24FAD51F_71B8_4595_B2A0_F89E073B10B4_.wvu.Cols">'it data'!$IE:$II</definedName>
    <definedName name="Z_24FAD51F_71B8_4595_B2A0_F89E073B10B4_.wvu.Cols_1">'it pro'!$AU:$BA</definedName>
    <definedName name="Z_24FAD51F_71B8_4595_B2A0_F89E073B10B4_.wvu.Cols_2">'ITAnnexure-I'!$AB:$AD</definedName>
    <definedName name="Z_24FAD51F_71B8_4595_B2A0_F89E073B10B4_.wvu.Cols_3">'ITAnnexure-II'!$Q:$Q</definedName>
    <definedName name="Z_24FAD51F_71B8_4595_B2A0_F89E073B10B4_.wvu.Cols_4">'Rent receipt'!$AD:$IV</definedName>
    <definedName name="Z_24FAD51F_71B8_4595_B2A0_F89E073B10B4_.wvu.Cols_5">'RUPEES CONVERSATION'!$C:$DE</definedName>
    <definedName name="Z_24FAD51F_71B8_4595_B2A0_F89E073B10B4_.wvu.Cols_6">'Sheet1'!$A:$B</definedName>
    <definedName name="Z_24FAD51F_71B8_4595_B2A0_F89E073B10B4_.wvu.FilterData">'ITAnnexure-I'!$AA$3:$AA$27</definedName>
    <definedName name="Z_24FAD51F_71B8_4595_B2A0_F89E073B10B4_.wvu.PrintArea">'form 16 page 1'!$B$1:$N$63</definedName>
    <definedName name="Z_24FAD51F_71B8_4595_B2A0_F89E073B10B4_.wvu.PrintArea_1">'form 16 page 2'!$B$2:$M$63</definedName>
    <definedName name="Z_24FAD51F_71B8_4595_B2A0_F89E073B10B4_.wvu.PrintArea_2">'form10-1A'!$A$1:$I$30</definedName>
    <definedName name="Z_24FAD51F_71B8_4595_B2A0_F89E073B10B4_.wvu.PrintArea_3">'ITAnnexure-I'!$A$1:$Z$29</definedName>
    <definedName name="Z_24FAD51F_71B8_4595_B2A0_F89E073B10B4_.wvu.PrintArea_4">'ITAnnexure-II'!$B$2:$M$72</definedName>
    <definedName name="Z_24FAD51F_71B8_4595_B2A0_F89E073B10B4_.wvu.PrintArea_5">'Rent receipt'!$B$2:$Z$49</definedName>
    <definedName name="Z_24FAD51F_71B8_4595_B2A0_F89E073B10B4_.wvu.Rows">'form 16 page 2'!$133:$268</definedName>
    <definedName name="Z_24FAD51F_71B8_4595_B2A0_F89E073B10B4_.wvu.Rows_1">'HRA CALCULATION'!$23:$30</definedName>
    <definedName name="Z_24FAD51F_71B8_4595_B2A0_F89E073B10B4_.wvu.Rows_2">'ITAnnexure-I'!$2:$2</definedName>
    <definedName name="Z_24FAD51F_71B8_4595_B2A0_F89E073B10B4_.wvu.Rows_3">('Rent receipt'!$227:$65536,'Rent receipt'!$34:$36)</definedName>
    <definedName name="Z_24FAD51F_71B8_4595_B2A0_F89E073B10B4_.wvu.Rows_4">'RUPEES CONVERSATION'!$1:$14</definedName>
    <definedName name="Z_24FAD51F_71B8_4595_B2A0_F89E073B10B4_.wvu.Rows_5">'Sheet2'!$1:$27</definedName>
    <definedName name="Z_3889258E_E296_4411_A597_E4C405347DC1_.wvu.Cols">'it data'!$IE:$II</definedName>
    <definedName name="Z_3889258E_E296_4411_A597_E4C405347DC1_.wvu.Cols_1">'it pro'!$A:$EL</definedName>
    <definedName name="Z_3889258E_E296_4411_A597_E4C405347DC1_.wvu.Cols_2">'ITAnnexure-II'!$Q:$Q</definedName>
    <definedName name="Z_3889258E_E296_4411_A597_E4C405347DC1_.wvu.Cols_3">'Rent receipt'!$AD:$IV</definedName>
    <definedName name="Z_3889258E_E296_4411_A597_E4C405347DC1_.wvu.Cols_4">'RUPEES CONVERSATION'!$C:$DE</definedName>
    <definedName name="Z_3889258E_E296_4411_A597_E4C405347DC1_.wvu.Cols_5">'Sheet1'!$A:$B</definedName>
    <definedName name="Z_3889258E_E296_4411_A597_E4C405347DC1_.wvu.FilterData">'ITAnnexure-I'!$AA$3:$AA$27</definedName>
    <definedName name="Z_3889258E_E296_4411_A597_E4C405347DC1_.wvu.PrintArea">'form 16 page 1'!$B$1:$N$63</definedName>
    <definedName name="Z_3889258E_E296_4411_A597_E4C405347DC1_.wvu.PrintArea_1">'form 16 page 2'!$B$2:$M$63</definedName>
    <definedName name="Z_3889258E_E296_4411_A597_E4C405347DC1_.wvu.PrintArea_2">'form10-1A'!$A$1:$I$30</definedName>
    <definedName name="Z_3889258E_E296_4411_A597_E4C405347DC1_.wvu.PrintArea_3">'instructions1'!$A$2:$C$69</definedName>
    <definedName name="Z_3889258E_E296_4411_A597_E4C405347DC1_.wvu.PrintArea_4">'ITAnnexure-I'!$A$1:$Z$29</definedName>
    <definedName name="Z_3889258E_E296_4411_A597_E4C405347DC1_.wvu.PrintArea_5">'ITAnnexure-II'!$B$2:$M$72</definedName>
    <definedName name="Z_3889258E_E296_4411_A597_E4C405347DC1_.wvu.PrintArea_6">'Rent receipt'!$B$2:$Z$49</definedName>
    <definedName name="Z_3889258E_E296_4411_A597_E4C405347DC1_.wvu.Rows">'form 16 page 2'!$133:$268</definedName>
    <definedName name="Z_3889258E_E296_4411_A597_E4C405347DC1_.wvu.Rows_1">('HRA CALCULATION'!$1:$2,'HRA CALCULATION'!$23:$30)</definedName>
    <definedName name="Z_3889258E_E296_4411_A597_E4C405347DC1_.wvu.Rows_2">'instructions1'!$1:$1</definedName>
    <definedName name="Z_3889258E_E296_4411_A597_E4C405347DC1_.wvu.Rows_3">'ITAnnexure-I'!$2:$2</definedName>
    <definedName name="Z_3889258E_E296_4411_A597_E4C405347DC1_.wvu.Rows_4">('Rent receipt'!$227:$65536,'Rent receipt'!$34:$36)</definedName>
    <definedName name="Z_3889258E_E296_4411_A597_E4C405347DC1_.wvu.Rows_5">'RUPEES CONVERSATION'!$1:$14</definedName>
    <definedName name="Z_3889258E_E296_4411_A597_E4C405347DC1_.wvu.Rows_6">'Sheet2'!$1:$27</definedName>
    <definedName name="Z_43882746_C8CD_41DF_BDEC_25E501D023CF_.wvu.Cols">'RUPEES CONVERSATION'!$C:$DE</definedName>
    <definedName name="Z_43882746_C8CD_41DF_BDEC_25E501D023CF_.wvu.Rows">('RUPEES CONVERSATION'!$1:$12,'RUPEES CONVERSATION'!$14:$14)</definedName>
    <definedName name="Z_76506621_BACD_42B2_BE75_5F0C907898DC_.wvu.Cols">'it data'!$IE:$II</definedName>
    <definedName name="Z_76506621_BACD_42B2_BE75_5F0C907898DC_.wvu.Cols_1">'it pro'!$AU:$BA</definedName>
    <definedName name="Z_76506621_BACD_42B2_BE75_5F0C907898DC_.wvu.Cols_2">'ITAnnexure-I'!$AB:$AD</definedName>
    <definedName name="Z_76506621_BACD_42B2_BE75_5F0C907898DC_.wvu.Cols_3">'ITAnnexure-II'!$Q:$Q</definedName>
    <definedName name="Z_76506621_BACD_42B2_BE75_5F0C907898DC_.wvu.Cols_4">'Rent receipt'!$AD:$IV</definedName>
    <definedName name="Z_76506621_BACD_42B2_BE75_5F0C907898DC_.wvu.Cols_5">'RUPEES CONVERSATION'!$C:$DE</definedName>
    <definedName name="Z_76506621_BACD_42B2_BE75_5F0C907898DC_.wvu.Cols_6">'Sheet1'!$A:$B</definedName>
    <definedName name="Z_76506621_BACD_42B2_BE75_5F0C907898DC_.wvu.FilterData">'ITAnnexure-I'!$AA$3:$AA$27</definedName>
    <definedName name="Z_76506621_BACD_42B2_BE75_5F0C907898DC_.wvu.PrintArea">'form 16 page 1'!$B$1:$N$63</definedName>
    <definedName name="Z_76506621_BACD_42B2_BE75_5F0C907898DC_.wvu.PrintArea_1">'form 16 page 2'!$B$2:$M$63</definedName>
    <definedName name="Z_76506621_BACD_42B2_BE75_5F0C907898DC_.wvu.PrintArea_2">'form10-1A'!$A$1:$I$30</definedName>
    <definedName name="Z_76506621_BACD_42B2_BE75_5F0C907898DC_.wvu.PrintArea_3">'ITAnnexure-I'!$A$1:$Z$29</definedName>
    <definedName name="Z_76506621_BACD_42B2_BE75_5F0C907898DC_.wvu.PrintArea_4">'ITAnnexure-II'!$B$2:$M$72</definedName>
    <definedName name="Z_76506621_BACD_42B2_BE75_5F0C907898DC_.wvu.PrintArea_5">'Rent receipt'!$B$2:$Z$49</definedName>
    <definedName name="Z_76506621_BACD_42B2_BE75_5F0C907898DC_.wvu.Rows">'form 16 page 2'!$133:$268</definedName>
    <definedName name="Z_76506621_BACD_42B2_BE75_5F0C907898DC_.wvu.Rows_1">'ITAnnexure-I'!$2:$2</definedName>
    <definedName name="Z_76506621_BACD_42B2_BE75_5F0C907898DC_.wvu.Rows_2">('Rent receipt'!$227:$65536,'Rent receipt'!$34:$36)</definedName>
    <definedName name="Z_76506621_BACD_42B2_BE75_5F0C907898DC_.wvu.Rows_3">'RUPEES CONVERSATION'!$1:$14</definedName>
    <definedName name="Z_76506621_BACD_42B2_BE75_5F0C907898DC_.wvu.Rows_4">'Sheet2'!$1:$27</definedName>
    <definedName name="Z_807F254B_987D_4BF4_9852_2E68168B9CD8_.wvu.Cols">'RUPEES CONVERSATION'!$C:$DE</definedName>
    <definedName name="Z_807F254B_987D_4BF4_9852_2E68168B9CD8_.wvu.Rows">('RUPEES CONVERSATION'!$1:$12,'RUPEES CONVERSATION'!$14:$14)</definedName>
    <definedName name="Z_91D02956_A3B8_4656_9B16_F2118C105B30_.wvu.Cols">'it data'!$IE:$II</definedName>
    <definedName name="Z_91D02956_A3B8_4656_9B16_F2118C105B30_.wvu.Cols_1">'it pro'!$AU:$BA</definedName>
    <definedName name="Z_91D02956_A3B8_4656_9B16_F2118C105B30_.wvu.Cols_2">'ITAnnexure-I'!$AB:$AD</definedName>
    <definedName name="Z_91D02956_A3B8_4656_9B16_F2118C105B30_.wvu.Cols_3">'ITAnnexure-II'!$Q:$Q</definedName>
    <definedName name="Z_91D02956_A3B8_4656_9B16_F2118C105B30_.wvu.Cols_4">'Rent receipt'!$AD:$IV</definedName>
    <definedName name="Z_91D02956_A3B8_4656_9B16_F2118C105B30_.wvu.Cols_5">'RUPEES CONVERSATION'!$C:$DE</definedName>
    <definedName name="Z_91D02956_A3B8_4656_9B16_F2118C105B30_.wvu.Cols_6">'Sheet1'!$A:$B</definedName>
    <definedName name="Z_91D02956_A3B8_4656_9B16_F2118C105B30_.wvu.FilterData">'ITAnnexure-I'!$AA$3:$AA$27</definedName>
    <definedName name="Z_91D02956_A3B8_4656_9B16_F2118C105B30_.wvu.PrintArea">'form 16 page 1'!$B$1:$N$63</definedName>
    <definedName name="Z_91D02956_A3B8_4656_9B16_F2118C105B30_.wvu.PrintArea_1">'form 16 page 2'!$B$2:$M$63</definedName>
    <definedName name="Z_91D02956_A3B8_4656_9B16_F2118C105B30_.wvu.PrintArea_2">'form10-1A'!$A$1:$I$30</definedName>
    <definedName name="Z_91D02956_A3B8_4656_9B16_F2118C105B30_.wvu.PrintArea_3">'ITAnnexure-I'!$A$1:$Z$29</definedName>
    <definedName name="Z_91D02956_A3B8_4656_9B16_F2118C105B30_.wvu.PrintArea_4">'ITAnnexure-II'!$B$2:$M$72</definedName>
    <definedName name="Z_91D02956_A3B8_4656_9B16_F2118C105B30_.wvu.PrintArea_5">'Rent receipt'!$B$2:$Z$49</definedName>
    <definedName name="Z_91D02956_A3B8_4656_9B16_F2118C105B30_.wvu.Rows">'form 16 page 2'!$133:$268</definedName>
    <definedName name="Z_91D02956_A3B8_4656_9B16_F2118C105B30_.wvu.Rows_1">'HRA CALCULATION'!$23:$30</definedName>
    <definedName name="Z_91D02956_A3B8_4656_9B16_F2118C105B30_.wvu.Rows_2">'ITAnnexure-I'!$2:$2</definedName>
    <definedName name="Z_91D02956_A3B8_4656_9B16_F2118C105B30_.wvu.Rows_3">('Rent receipt'!$227:$65536,'Rent receipt'!$34:$36)</definedName>
    <definedName name="Z_91D02956_A3B8_4656_9B16_F2118C105B30_.wvu.Rows_4">'RUPEES CONVERSATION'!$1:$14</definedName>
    <definedName name="Z_91D02956_A3B8_4656_9B16_F2118C105B30_.wvu.Rows_5">'Sheet2'!$1:$27</definedName>
    <definedName name="Z_D0059979_1249_4E62_A3C0_0BB29A77F9CF_.wvu.Cols" localSheetId="2" hidden="1">'it data'!$IE:$II</definedName>
    <definedName name="Z_D0059979_1249_4E62_A3C0_0BB29A77F9CF_.wvu.Cols" localSheetId="3" hidden="1">'it pro'!$A:$EL</definedName>
    <definedName name="Z_D0059979_1249_4E62_A3C0_0BB29A77F9CF_.wvu.Cols" localSheetId="5" hidden="1">'ITAnnexure-II'!$Q:$Q</definedName>
    <definedName name="Z_D0059979_1249_4E62_A3C0_0BB29A77F9CF_.wvu.Cols" localSheetId="8" hidden="1">'Rent receipt'!$AD:$IV</definedName>
    <definedName name="Z_D0059979_1249_4E62_A3C0_0BB29A77F9CF_.wvu.Cols" localSheetId="13" hidden="1">'RUPEES CONVERSATION'!$C:$DE</definedName>
    <definedName name="Z_D0059979_1249_4E62_A3C0_0BB29A77F9CF_.wvu.Cols" localSheetId="12" hidden="1">'Sheet1'!$A:$B</definedName>
    <definedName name="Z_D0059979_1249_4E62_A3C0_0BB29A77F9CF_.wvu.FilterData" localSheetId="4" hidden="1">'ITAnnexure-I'!$AA$3:$AA$27</definedName>
    <definedName name="Z_D0059979_1249_4E62_A3C0_0BB29A77F9CF_.wvu.PrintArea" localSheetId="6" hidden="1">'form 16 page 1'!$B$1:$N$63</definedName>
    <definedName name="Z_D0059979_1249_4E62_A3C0_0BB29A77F9CF_.wvu.PrintArea" localSheetId="7" hidden="1">'form 16 page 2'!$B$2:$M$63</definedName>
    <definedName name="Z_D0059979_1249_4E62_A3C0_0BB29A77F9CF_.wvu.PrintArea" localSheetId="9" hidden="1">'form10-1A'!$A$1:$I$30</definedName>
    <definedName name="Z_D0059979_1249_4E62_A3C0_0BB29A77F9CF_.wvu.PrintArea" localSheetId="0" hidden="1">'instructions1'!$A$2:$C$69</definedName>
    <definedName name="Z_D0059979_1249_4E62_A3C0_0BB29A77F9CF_.wvu.PrintArea" localSheetId="4" hidden="1">'ITAnnexure-I'!$A$1:$Z$29</definedName>
    <definedName name="Z_D0059979_1249_4E62_A3C0_0BB29A77F9CF_.wvu.PrintArea" localSheetId="5" hidden="1">'ITAnnexure-II'!$B$2:$M$72</definedName>
    <definedName name="Z_D0059979_1249_4E62_A3C0_0BB29A77F9CF_.wvu.PrintArea" localSheetId="8" hidden="1">'Rent receipt'!$B$2:$Z$49</definedName>
    <definedName name="Z_D0059979_1249_4E62_A3C0_0BB29A77F9CF_.wvu.Rows" localSheetId="7" hidden="1">'form 16 page 2'!$133:$268</definedName>
    <definedName name="Z_D0059979_1249_4E62_A3C0_0BB29A77F9CF_.wvu.Rows" localSheetId="14" hidden="1">'HRA CALCULATION'!$1:$2,'HRA CALCULATION'!$23:$30</definedName>
    <definedName name="Z_D0059979_1249_4E62_A3C0_0BB29A77F9CF_.wvu.Rows" localSheetId="0" hidden="1">'instructions1'!$1:$1</definedName>
    <definedName name="Z_D0059979_1249_4E62_A3C0_0BB29A77F9CF_.wvu.Rows" localSheetId="4" hidden="1">'ITAnnexure-I'!$2:$2</definedName>
    <definedName name="Z_D0059979_1249_4E62_A3C0_0BB29A77F9CF_.wvu.Rows" localSheetId="8" hidden="1">'Rent receipt'!$227:$65536,'Rent receipt'!$34:$36</definedName>
    <definedName name="Z_D0059979_1249_4E62_A3C0_0BB29A77F9CF_.wvu.Rows" localSheetId="13" hidden="1">'RUPEES CONVERSATION'!$1:$14</definedName>
    <definedName name="Z_D0059979_1249_4E62_A3C0_0BB29A77F9CF_.wvu.Rows" localSheetId="1" hidden="1">'Sheet2'!$1:$27</definedName>
    <definedName name="Z_FFDC8CD7_BD27_4170_A27C_1971B34E6362_.wvu.Cols">'it data'!$IE:$II</definedName>
    <definedName name="Z_FFDC8CD7_BD27_4170_A27C_1971B34E6362_.wvu.Cols_1">'it pro'!$AU:$BA</definedName>
    <definedName name="Z_FFDC8CD7_BD27_4170_A27C_1971B34E6362_.wvu.Cols_2">'ITAnnexure-II'!$Q:$Q</definedName>
    <definedName name="Z_FFDC8CD7_BD27_4170_A27C_1971B34E6362_.wvu.Cols_3">'Rent receipt'!$AD:$IV</definedName>
    <definedName name="Z_FFDC8CD7_BD27_4170_A27C_1971B34E6362_.wvu.Cols_4">'RUPEES CONVERSATION'!$C:$DE</definedName>
    <definedName name="Z_FFDC8CD7_BD27_4170_A27C_1971B34E6362_.wvu.Cols_5">'Sheet1'!$A:$B</definedName>
    <definedName name="Z_FFDC8CD7_BD27_4170_A27C_1971B34E6362_.wvu.FilterData">'ITAnnexure-I'!$AA$3:$AA$27</definedName>
    <definedName name="Z_FFDC8CD7_BD27_4170_A27C_1971B34E6362_.wvu.PrintArea">'form 16 page 1'!$B$1:$N$63</definedName>
    <definedName name="Z_FFDC8CD7_BD27_4170_A27C_1971B34E6362_.wvu.PrintArea_1">'form 16 page 2'!$B$2:$M$63</definedName>
    <definedName name="Z_FFDC8CD7_BD27_4170_A27C_1971B34E6362_.wvu.PrintArea_2">'form10-1A'!$A$1:$I$30</definedName>
    <definedName name="Z_FFDC8CD7_BD27_4170_A27C_1971B34E6362_.wvu.PrintArea_3">'ITAnnexure-I'!$A$1:$Z$29</definedName>
    <definedName name="Z_FFDC8CD7_BD27_4170_A27C_1971B34E6362_.wvu.PrintArea_4">'ITAnnexure-II'!$B$2:$M$72</definedName>
    <definedName name="Z_FFDC8CD7_BD27_4170_A27C_1971B34E6362_.wvu.PrintArea_5">'Rent receipt'!$B$2:$Z$49</definedName>
    <definedName name="Z_FFDC8CD7_BD27_4170_A27C_1971B34E6362_.wvu.Rows">'form 16 page 2'!$133:$268</definedName>
    <definedName name="Z_FFDC8CD7_BD27_4170_A27C_1971B34E6362_.wvu.Rows_1">('HRA CALCULATION'!$1:$2,'HRA CALCULATION'!$23:$30)</definedName>
    <definedName name="Z_FFDC8CD7_BD27_4170_A27C_1971B34E6362_.wvu.Rows_2">'ITAnnexure-I'!$2:$2</definedName>
    <definedName name="Z_FFDC8CD7_BD27_4170_A27C_1971B34E6362_.wvu.Rows_3">('Rent receipt'!$227:$65536,'Rent receipt'!$34:$36)</definedName>
    <definedName name="Z_FFDC8CD7_BD27_4170_A27C_1971B34E6362_.wvu.Rows_4">'RUPEES CONVERSATION'!$1:$14</definedName>
    <definedName name="Z_FFDC8CD7_BD27_4170_A27C_1971B34E6362_.wvu.Rows_5">'Sheet2'!$1:$27</definedName>
  </definedNames>
  <calcPr fullCalcOnLoad="1"/>
</workbook>
</file>

<file path=xl/comments2.xml><?xml version="1.0" encoding="utf-8"?>
<comments xmlns="http://schemas.openxmlformats.org/spreadsheetml/2006/main">
  <authors>
    <author/>
  </authors>
  <commentList>
    <comment ref="D32" authorId="0">
      <text>
        <r>
          <rPr>
            <sz val="11"/>
            <color indexed="8"/>
            <rFont val="Calibri"/>
            <family val="2"/>
          </rPr>
          <t>Not enter % after nuber</t>
        </r>
      </text>
    </comment>
  </commentList>
</comments>
</file>

<file path=xl/comments3.xml><?xml version="1.0" encoding="utf-8"?>
<comments xmlns="http://schemas.openxmlformats.org/spreadsheetml/2006/main">
  <authors>
    <author/>
  </authors>
  <commentList>
    <comment ref="E11" authorId="0">
      <text>
        <r>
          <rPr>
            <sz val="11"/>
            <color indexed="8"/>
            <rFont val="Calibri"/>
            <family val="2"/>
          </rPr>
          <t xml:space="preserve">HERE ENTER MONTHLY RENT AMOUNT
</t>
        </r>
      </text>
    </comment>
  </commentList>
</comments>
</file>

<file path=xl/comments5.xml><?xml version="1.0" encoding="utf-8"?>
<comments xmlns="http://schemas.openxmlformats.org/spreadsheetml/2006/main">
  <authors>
    <author/>
  </authors>
  <commentList>
    <comment ref="K3" authorId="0">
      <text>
        <r>
          <rPr>
            <sz val="11"/>
            <color indexed="8"/>
            <rFont val="Calibri"/>
            <family val="2"/>
          </rPr>
          <t xml:space="preserve">PHC Range Password:123
</t>
        </r>
      </text>
    </comment>
    <comment ref="AA3" authorId="0">
      <text>
        <r>
          <rPr>
            <sz val="11"/>
            <color indexed="8"/>
            <rFont val="Calibri"/>
            <family val="2"/>
          </rPr>
          <t xml:space="preserve">To hide unnecessary rows select " 1"in filter dropdown every time after changing the values in IT DATA SHEET
</t>
        </r>
      </text>
    </comment>
  </commentList>
</comments>
</file>

<file path=xl/sharedStrings.xml><?xml version="1.0" encoding="utf-8"?>
<sst xmlns="http://schemas.openxmlformats.org/spreadsheetml/2006/main" count="1449" uniqueCount="932">
  <si>
    <t xml:space="preserve">visit for latest updates on     WWW.MEDAKBADI.IN </t>
  </si>
  <si>
    <r>
      <t xml:space="preserve">( INCOME TAX FY 2014-15  -- information and rules  for ( Rates,Deductions,Exemption etc.) </t>
    </r>
    <r>
      <rPr>
        <b/>
        <sz val="11"/>
        <color indexed="12"/>
        <rFont val="Verdana"/>
        <family val="2"/>
      </rPr>
      <t xml:space="preserve">with brief detail of every rule </t>
    </r>
  </si>
  <si>
    <r>
      <t>Financial year 2014- 15</t>
    </r>
    <r>
      <rPr>
        <b/>
        <sz val="12"/>
        <color indexed="17"/>
        <rFont val="Arial"/>
        <family val="2"/>
      </rPr>
      <t xml:space="preserve">         </t>
    </r>
    <r>
      <rPr>
        <b/>
        <sz val="12"/>
        <color indexed="10"/>
        <rFont val="Arial"/>
        <family val="2"/>
      </rPr>
      <t>ASSESSMENT YEAR 2015-16</t>
    </r>
    <r>
      <rPr>
        <b/>
        <sz val="12"/>
        <color indexed="12"/>
        <rFont val="Arial"/>
        <family val="2"/>
      </rPr>
      <t xml:space="preserve">  </t>
    </r>
  </si>
  <si>
    <r>
      <t>This Tax Calculator will help you to calculate the estimated tax payable. If you find any inconsistency, correction or amendments, please let me know, I will try to fix it at the earliest  Please send a detailed e-mail at</t>
    </r>
    <r>
      <rPr>
        <b/>
        <sz val="12"/>
        <color indexed="12"/>
        <rFont val="Arial"/>
        <family val="2"/>
      </rPr>
      <t xml:space="preserve">  kota.vijayakumar1@gmail.com.</t>
    </r>
    <r>
      <rPr>
        <b/>
        <sz val="12"/>
        <rFont val="Arial"/>
        <family val="2"/>
      </rPr>
      <t>Before submitting ,verify the values with experts.</t>
    </r>
  </si>
  <si>
    <t>Individual resident aged below 60 years (i.e. born on or after 1st April 1955)</t>
  </si>
  <si>
    <t>Income Slabs</t>
  </si>
  <si>
    <t>Tax Rates</t>
  </si>
  <si>
    <t>i.</t>
  </si>
  <si>
    <t>Where the total income does not exceed Rs. 2,50,000/-.</t>
  </si>
  <si>
    <t>NIL</t>
  </si>
  <si>
    <t>ii.</t>
  </si>
  <si>
    <t>Where the total income exceeds Rs. 2,50,000/- but does not exceed Rs. 5,00,000/-.</t>
  </si>
  <si>
    <t>10% of amount by which the total income exceeds Rs. 2,50,000/-. </t>
  </si>
  <si>
    <r>
      <t>Less</t>
    </r>
    <r>
      <rPr>
        <sz val="11"/>
        <color indexed="10"/>
        <rFont val="Arial"/>
        <family val="2"/>
      </rPr>
      <t> ( in case of Resident Individuals only ) :</t>
    </r>
    <r>
      <rPr>
        <sz val="11"/>
        <color indexed="63"/>
        <rFont val="Arial"/>
        <family val="2"/>
      </rPr>
      <t> Tax Credit u/s 87A - 10% of taxable income upto a maximum of Rs. 2000/-.</t>
    </r>
  </si>
  <si>
    <t>iii.</t>
  </si>
  <si>
    <t>Where the total income exceeds Rs. 5,00,000/- but does not exceed Rs. 10,00,000/-.</t>
  </si>
  <si>
    <t>Rs. 25,000/- + 20% of the amount by which the total income exceeds Rs. 5,00,000/-.</t>
  </si>
  <si>
    <t>iv.</t>
  </si>
  <si>
    <t>Where the total income exceeds Rs. 10,00,000/-.</t>
  </si>
  <si>
    <t>Rs. 125,000/- + 30% of the amount by which the total income exceeds Rs. 10,00,000/-.</t>
  </si>
  <si>
    <t>Surcharge : 10% of the Income Tax, where total taxable income is more than Rs. 1 crore. (Marginal Relief in Surcharge, if applicable)</t>
  </si>
  <si>
    <t xml:space="preserve">Education Cess : 3% of the total of Income Tax and Surcharge.
</t>
  </si>
  <si>
    <t>A tax rebate of Rs 2,000 from tax calculated will be available for people having an annual income upto Rs 5 lakh.   However, this benefit of Rs2,000 tax credit will not be available if you cross the income range of Rs 5 lakh.  Thus we can say that tax payable in 10% slab will be maximum Rs23,000 (taking into account Rs 2000 tax credit), but for people who fall in income range of Rs5 lakh and above, the tax will be Rs25,000 + 20% tax on income above Rs 5 lakh;</t>
  </si>
  <si>
    <t>Section 80EE: Deduction in respect of Interest on Residential House Property</t>
  </si>
  <si>
    <t>The deduction under this sub-section is available w.e.f. AY 2014-15. The maximum deduction available is Rs. 1 lac. In a case where the interest payable for the financial year 2013-14 is less than Rs. 1 lac, the balance deduction amount shall be available in AY 2015-16.</t>
  </si>
  <si>
    <t>The deduction under sub-section (1) shall be subject to the following conditions :</t>
  </si>
  <si>
    <t>i. the loan has been sanctioned by the financial institution during the period beginning on the 1st day of April, 2013 and ending on the 31st day of March, 2014;</t>
  </si>
  <si>
    <t>ii. the amount of loan sanctioned for acquisition of the residential house property does not exceed twenty-five lakh rupees;</t>
  </si>
  <si>
    <t>iii. the value of the residential house property does not exceed forty lakh rupees;</t>
  </si>
  <si>
    <t>iv. the assessee does not own any residential house property on the date of sanction of the loan.</t>
  </si>
  <si>
    <t>If deduction for Housing Loan Interest is availed under this section, no deduction can be availed for such interest under any other provisions of the Act for the same or any other assessment year.</t>
  </si>
  <si>
    <t>Section 80 TTA: Deduction from gross total income in respect of any Income by way of Interest on Savings account</t>
  </si>
  <si>
    <r>
      <t>Deduction from </t>
    </r>
    <r>
      <rPr>
        <b/>
        <sz val="12"/>
        <color indexed="63"/>
        <rFont val="Times New Roman"/>
        <family val="1"/>
      </rPr>
      <t>gross total income</t>
    </r>
    <r>
      <rPr>
        <sz val="12"/>
        <color indexed="63"/>
        <rFont val="Times New Roman"/>
        <family val="1"/>
      </rPr>
      <t> of an individual or HUF, upto a maximum of Rs. 10,000/-, in respect of interest on deposits in savings account ( not time deposits ) with a bank, co-operative society or post office, is allowable w.e.f. 01.04.2012 (Assessment Year 2013-14).</t>
    </r>
  </si>
  <si>
    <t>Section 80CCG: Rajiv Gandhi Equity Saving Scheme (RGESS)</t>
  </si>
  <si>
    <t>As per the Budget 2012 announcements, a new scheme Rajiv Gandhi Equity Saving Scheme (RGESS) will be launched. Those investors whose annual income is less than Rs. 10 lakh (proposed Rs. 12 lakh from A.Y. 2014-15) can invest in this scheme up to Rs. 50,000 and get a deduction of 50% of the investment. So if you invest Rs. 50,000 (maximum amount eligible for income tax rebate is Rs. 50,000), you can claim a tax deduction of Rs. 25,000 (50% of Rs. 50,000)</t>
  </si>
  <si>
    <t>Employee’s contribution – Section 80CCD:</t>
  </si>
  <si>
    <t>Taxpayer can avail deduction in the year in which contribution is made. Any contributions in excess of 10% of salary (in case of taxpayer being an employee) or 10% of gross total income (in case of tax payer being self employed) are not deductible. Maximum amount of deduction allowed under section 80CCD(1) is Rs 1,00,000</t>
  </si>
  <si>
    <t>Here’s a summary for you –</t>
  </si>
  <si>
    <t>Deductions Under Section 80CCC :</t>
  </si>
  <si>
    <r>
      <t>Under this section, the contributions by individuals towards "Pension" schemes of LIC or any other Insurance company, is allowed as deduction of Rs.10,000/-.  However, as provided under section 80CCE, the aggregate deduction u/s 80C, and u/s 80CCC and 80CCD can not exceed Rs.1,50,000/-.  </t>
    </r>
    <r>
      <rPr>
        <b/>
        <sz val="12"/>
        <color indexed="10"/>
        <rFont val="Times New Roman"/>
        <family val="1"/>
      </rPr>
      <t>Thus effectively, now these are covered under the maximum limit of  Rs.1,50,000/- under section 80C.</t>
    </r>
  </si>
  <si>
    <t xml:space="preserve"> Deductions Under Section 80 D :</t>
  </si>
  <si>
    <r>
      <t>Basic Deduction under Section 80D,   </t>
    </r>
    <r>
      <rPr>
        <b/>
        <sz val="12"/>
        <color indexed="10"/>
        <rFont val="Times New Roman"/>
        <family val="1"/>
      </rPr>
      <t>Mediclaim premium paid for Self, Spouse or dependant children </t>
    </r>
    <r>
      <rPr>
        <b/>
        <sz val="12"/>
        <color indexed="8"/>
        <rFont val="Times New Roman"/>
        <family val="1"/>
      </rPr>
      <t>is allowed upto Rs 15,000.  In case any of the persons specified above is a senior citizen (i.e. 65 years or more as of end of the year) and Mediclaim insurance premium is also paid for such senior citizen, deduction amount is enhanced to Rs. 20,000.</t>
    </r>
  </si>
  <si>
    <r>
      <t>Additional deduction: </t>
    </r>
    <r>
      <rPr>
        <b/>
        <sz val="12"/>
        <color indexed="10"/>
        <rFont val="Times New Roman"/>
        <family val="1"/>
      </rPr>
      <t>Mediclaim premium paid for parents.</t>
    </r>
    <r>
      <rPr>
        <b/>
        <sz val="12"/>
        <color indexed="8"/>
        <rFont val="Times New Roman"/>
        <family val="1"/>
      </rPr>
      <t> Maximum deduction Rs 15,000. In case any of the parents covered by the Mediclaim policy is a senior citizen, deduction amount is enhanced to Rs. 20,000.</t>
    </r>
  </si>
  <si>
    <t>Deductions Under Section 80 E : </t>
  </si>
  <si>
    <t xml:space="preserve">Under this section, deduction is available for payment of interest on a loan taken for higher education from any financial institution or an approved charitable institution. The loan should be taken for either pursuing a full-time graduate or post-graduate course in engineering, medicine or management, or a post-graduate course in applied science or pure science.Loan should have been taken for the purpose of pursuing higher studies of Individual , Spouse, Children of Individual or of the student of whom individual is legal Guardian. . Hence parents are also eligible to claim deduction of interest paid by them on loan taken for their children’s education.The amount of interest paid is eligible for deduction and moreover there is no cap on the amount to be deducted. You can deduct the entire interest amount from your taxable income. However there is no benefit available on the repayment of principal amount of the loan. </t>
  </si>
  <si>
    <t>The deduction is available for the first year when the interest is paid and for the subsequent seven years.</t>
  </si>
  <si>
    <t>(4) Deductions Under Section 24(b) :</t>
  </si>
  <si>
    <r>
      <t>Under this section, </t>
    </r>
    <r>
      <rPr>
        <sz val="12"/>
        <color indexed="12"/>
        <rFont val="Times New Roman"/>
        <family val="1"/>
      </rPr>
      <t>interest </t>
    </r>
    <r>
      <rPr>
        <sz val="12"/>
        <color indexed="8"/>
        <rFont val="Times New Roman"/>
        <family val="1"/>
      </rPr>
      <t>on borrowed capital for the purpose of house purchase or construction is deductible from taxable income upto Rs.2,00,000/- is deductible from income.  (certain conditions are to be fulfilled)</t>
    </r>
  </si>
  <si>
    <t>TAX FREE INCOMES :</t>
  </si>
  <si>
    <t>Some of the incomes are completely exempted from income tax and that too without any upper limit.   The following incomes which are tax free :-</t>
  </si>
  <si>
    <t>(a) Interest on EPF / GPF / PPF</t>
  </si>
  <si>
    <t>(b) Interest on GOI Tax Free Bonds / Tax Free Bonds issued with specific stipulation to this effect</t>
  </si>
  <si>
    <t>(c) Dividends on Shares and Mutual Funds.  Dividend income from companies / Equity Oriented Mutual funds is completely exempt in the hands of investors.  Dividend is also tax free in the hands of investors in case of debt-oriented Mutual Fund schemes.  (However, the Asset Management Company is liable to deduct 22.44% distribution tax in case of non individuals / non HUF investors and 14.025% in case of individuals or HUF investors.)</t>
  </si>
  <si>
    <t>(d) Capital receipts from Life Insurance policies i.e. sums received either on death of the insured or on maturity of Life insurance plans.  However, in case of life insurance policies issued after March 31, 2004, exemption on maturity payment u/s 10(10D) is available only if premium paid in any year does not exceed 20% of the sum asssured;</t>
  </si>
  <si>
    <t>e) Interest on Saving Bank accounts in banks upto Rs10,000/- per year (from FY 2012-13)</t>
  </si>
  <si>
    <t>(f) Long term capial gains on sale of  shares and equity mutual funds after 01/10/2004, if security transaction is paid / imposed on such transactions.</t>
  </si>
  <si>
    <t>Some Changes effected from  the FY 2014-15 (AY 2015-16)</t>
  </si>
  <si>
    <t>Investment limit under section 80C of the Income-Tax Act raised from Rs.1 lakh to Rs. 1.5 lakh.</t>
  </si>
  <si>
    <t> Deduction limit on account of interest on loan in respect of self occupied house property raised from Rs.1.5 lakh to Rs. 2 lakh.</t>
  </si>
  <si>
    <t>Income Tax Deductions Explaination</t>
  </si>
  <si>
    <t>Maximum deduction allowed</t>
  </si>
  <si>
    <t>Remarks</t>
  </si>
  <si>
    <t>Income Tax deduction - Section 80C</t>
  </si>
  <si>
    <t>Maximum tax deduction or tax exemption limit:</t>
  </si>
  <si>
    <t>Provident Funds, Life Insurance premia, ELSS, Bank deposits (&gt;5 yr.), tution fees, principal part of EMI on housing loan, etc.</t>
  </si>
  <si>
    <t>Rs</t>
  </si>
  <si>
    <t>. 1,00,000</t>
  </si>
  <si>
    <t>Income Tax deduction - Section 80D</t>
  </si>
  <si>
    <t>Premium in health insurance of you, your spouse, children or dependent parents</t>
  </si>
  <si>
    <t>Rs. 15000</t>
  </si>
  <si>
    <t>(tax exemption limit for senior citizen is</t>
  </si>
  <si>
    <t>Rs. 20000</t>
  </si>
  <si>
    <t>Income Tax deduction - Section 80DD</t>
  </si>
  <si>
    <t>Medical treatment (including insurance) of disabled dependent</t>
  </si>
  <si>
    <r>
      <t>Rs. 50000</t>
    </r>
    <r>
      <rPr>
        <sz val="11"/>
        <color indexed="8"/>
        <rFont val="Verdana"/>
        <family val="2"/>
      </rPr>
      <t>.</t>
    </r>
  </si>
  <si>
    <t>if disability is severe,e.g. &gt;80%)</t>
  </si>
  <si>
    <r>
      <t>(</t>
    </r>
    <r>
      <rPr>
        <b/>
        <sz val="11"/>
        <color indexed="8"/>
        <rFont val="Verdana"/>
        <family val="2"/>
      </rPr>
      <t>Rs.100000</t>
    </r>
    <r>
      <rPr>
        <sz val="11"/>
        <color indexed="8"/>
        <rFont val="Verdana"/>
        <family val="2"/>
      </rPr>
      <t> </t>
    </r>
  </si>
  <si>
    <t>Income Tax deduction - Section 80E</t>
  </si>
  <si>
    <t>Interest paid on educational loan taken for higher education of you, your spouse or children.</t>
  </si>
  <si>
    <t>Income Tax deduction - Section 24</t>
  </si>
  <si>
    <t>Interest paid on housing loan.</t>
  </si>
  <si>
    <t>Rs. 1,50,000</t>
  </si>
  <si>
    <t>Income Tax deduction - Section 80G</t>
  </si>
  <si>
    <t>Donations:100% of donation amount for special funds(see below), 50% of donation amount for all other donations.</t>
  </si>
  <si>
    <t>SHEET-II</t>
  </si>
  <si>
    <t>Change income tax limits only in green colour cells</t>
  </si>
  <si>
    <t>Surcharges&amp; Cesses</t>
  </si>
  <si>
    <t>For men employees</t>
  </si>
  <si>
    <t>Tax%</t>
  </si>
  <si>
    <t>For women employees</t>
  </si>
  <si>
    <t>Up to Rs</t>
  </si>
  <si>
    <t xml:space="preserve">Up to Rs </t>
  </si>
  <si>
    <t>From</t>
  </si>
  <si>
    <t>Above</t>
  </si>
  <si>
    <t xml:space="preserve"> Cesses</t>
  </si>
  <si>
    <t>Education Cess @</t>
  </si>
  <si>
    <t xml:space="preserve">Secondary &amp; Higher Education Cess @ </t>
  </si>
  <si>
    <t>Others</t>
  </si>
  <si>
    <t xml:space="preserve">I T deduction - Sections </t>
  </si>
  <si>
    <t>Maximum                           tax deduction</t>
  </si>
  <si>
    <t>80C</t>
  </si>
  <si>
    <t>*</t>
  </si>
  <si>
    <t>Maximum  tax deduction  U/S 80C</t>
  </si>
  <si>
    <t>Rajiv Gandhi Equity Savings Scheme</t>
  </si>
  <si>
    <t>80CCG</t>
  </si>
  <si>
    <t>Maximum  tax deduction   U/S 80CCC</t>
  </si>
  <si>
    <t>LIC / UTI  etc. Pension funds</t>
  </si>
  <si>
    <t>80CCC</t>
  </si>
  <si>
    <t>Maximum   tax deduction U/S 80CCD.</t>
  </si>
  <si>
    <t>Contribution to Pension Fund</t>
  </si>
  <si>
    <t>80CCD</t>
  </si>
  <si>
    <t>Maximum   tax deduction,80CCG</t>
  </si>
  <si>
    <t>Interest on Savings account</t>
  </si>
  <si>
    <t>80TTA</t>
  </si>
  <si>
    <t>Maximum   tax deduction,80TTA</t>
  </si>
  <si>
    <t>Maximum  tax deduction  UNDER SECTIONS 80C,80CCG,80TTA,80CCC,80CCD</t>
  </si>
  <si>
    <t>25000(80ccg)+10000(80TTA)</t>
  </si>
  <si>
    <t>Maximum  tax deduction  UNDER SECTIONS 80C,80CCF,80CCC,80CCD</t>
  </si>
  <si>
    <t xml:space="preserve">I T deduction - Section </t>
  </si>
  <si>
    <t>Maximum tax deduction</t>
  </si>
  <si>
    <t>Medical Insurance Premium</t>
  </si>
  <si>
    <t>80D</t>
  </si>
  <si>
    <t>Medical Insurance Premium-S.Citizens</t>
  </si>
  <si>
    <t xml:space="preserve">Preventive Health Check up </t>
  </si>
  <si>
    <t>Expenditure on medical treatment</t>
  </si>
  <si>
    <t>80DD</t>
  </si>
  <si>
    <t>Expenditure on medical treatment S.Citizen</t>
  </si>
  <si>
    <t>Donation of Charitable Institution</t>
  </si>
  <si>
    <t>80G</t>
  </si>
  <si>
    <t>Payments made to Electoral Trusts</t>
  </si>
  <si>
    <t>Interest on Educational Loan</t>
  </si>
  <si>
    <t>80E</t>
  </si>
  <si>
    <t>Interest on Housing Loan Advance</t>
  </si>
  <si>
    <t>U/S-24B</t>
  </si>
  <si>
    <t>Treatment of Handicapped Dependent-above 40%disability</t>
  </si>
  <si>
    <t>Treatment of Handicapped Dependent-&gt;80%disability</t>
  </si>
  <si>
    <t>Maintaince for disabled Person-between 40%to 80%disability</t>
  </si>
  <si>
    <t>80U</t>
  </si>
  <si>
    <t xml:space="preserve">Maintaince for disabled Person- above 80% disability </t>
  </si>
  <si>
    <t>No need to change values here .it is only for reference purpose</t>
  </si>
  <si>
    <t>Maintaince for disabled Person-above40%disability</t>
  </si>
  <si>
    <t xml:space="preserve">Employee Name </t>
  </si>
  <si>
    <t>Designation</t>
  </si>
  <si>
    <t xml:space="preserve">SA </t>
  </si>
  <si>
    <t>Financial Year</t>
  </si>
  <si>
    <t>to</t>
  </si>
  <si>
    <t xml:space="preserve">MONTH </t>
  </si>
  <si>
    <t>B.PAY</t>
  </si>
  <si>
    <t>D.A</t>
  </si>
  <si>
    <t>HRA</t>
  </si>
  <si>
    <t>Working Place</t>
  </si>
  <si>
    <t>Treasury ID</t>
  </si>
  <si>
    <t>1808595</t>
  </si>
  <si>
    <t>Mandal</t>
  </si>
  <si>
    <t>Annual Increment-1</t>
  </si>
  <si>
    <t>PAN No.</t>
  </si>
  <si>
    <t>if changed  basic pay</t>
  </si>
  <si>
    <t>APGLI A/c No</t>
  </si>
  <si>
    <t>FPI+PP</t>
  </si>
  <si>
    <t>PF type</t>
  </si>
  <si>
    <t>14646</t>
  </si>
  <si>
    <t>Whether Living in</t>
  </si>
  <si>
    <t>6/12/18/24 Year Increment                                                select date</t>
  </si>
  <si>
    <t>P.H.C. Allowance</t>
  </si>
  <si>
    <t>Children Education Fee Concession</t>
  </si>
  <si>
    <t xml:space="preserve">Taken Promotion </t>
  </si>
  <si>
    <t>H.M. Allowance</t>
  </si>
  <si>
    <t xml:space="preserve">if HMA  change select month &amp; Rs </t>
  </si>
  <si>
    <t>If Yes, Promotion Taken on</t>
  </si>
  <si>
    <t>C.C. Allowance</t>
  </si>
  <si>
    <t xml:space="preserve">if CCA change select month &amp; Rs </t>
  </si>
  <si>
    <t>if option given increment date ,select month</t>
  </si>
  <si>
    <t>Reader Allowance</t>
  </si>
  <si>
    <t xml:space="preserve">if R A change select month &amp; Rs </t>
  </si>
  <si>
    <t>S A V I N G S</t>
  </si>
  <si>
    <t>Provident Fund Monthly</t>
  </si>
  <si>
    <t xml:space="preserve">if PF  change select month &amp; Rs </t>
  </si>
  <si>
    <t>APGLI.Monthly</t>
  </si>
  <si>
    <t xml:space="preserve">if APGLI change select month &amp; Rs </t>
  </si>
  <si>
    <t>G.I.S………..</t>
  </si>
  <si>
    <t xml:space="preserve">if GIS change select month &amp; Rs </t>
  </si>
  <si>
    <t>LIC Salary Paid monthly</t>
  </si>
  <si>
    <t xml:space="preserve">if LIC change select month &amp; Rs </t>
  </si>
  <si>
    <t>EWF Month&amp; Rs.</t>
  </si>
  <si>
    <t>SWF Month&amp; Rs</t>
  </si>
  <si>
    <t>Employee health insurance  from Month onward &amp; Rs</t>
  </si>
  <si>
    <t xml:space="preserve">Surrender Leave days &amp; Month </t>
  </si>
  <si>
    <t>H.R.A---</t>
  </si>
  <si>
    <t>If H.R.A Change</t>
  </si>
  <si>
    <t>DDO PARTICULARS</t>
  </si>
  <si>
    <t>Advance Tax Paid</t>
  </si>
  <si>
    <t>DEDUCTIONS</t>
  </si>
  <si>
    <t xml:space="preserve"> DDO Name</t>
  </si>
  <si>
    <t>DDO Office Name</t>
  </si>
  <si>
    <t>D.D.O. TAN No.</t>
  </si>
  <si>
    <t>Interest on Housing Loan Advance U/s 24[ B ]</t>
  </si>
  <si>
    <t>Mention HB Loan taken before or after 1/4/2013</t>
  </si>
  <si>
    <t>Before 01/04/2013</t>
  </si>
  <si>
    <t>New addition extra Rs. 1,00,000/- as HBL Int after taking loan 01/April/2013,excluding u/s 24B</t>
  </si>
  <si>
    <t>U/s 80 EE (Additional amount of HBL Int) Rs.1,00,000/-</t>
  </si>
  <si>
    <t xml:space="preserve">Enter your Arrears  </t>
  </si>
  <si>
    <t>No need to change values here,if you want change dedected basic pay days "use range Password -123</t>
  </si>
  <si>
    <t>Item</t>
  </si>
  <si>
    <t>Modified AAS Arrears</t>
  </si>
  <si>
    <t>Stepup   Arrears</t>
  </si>
  <si>
    <t>Other  Arrears</t>
  </si>
  <si>
    <t xml:space="preserve">CMRF Month </t>
  </si>
  <si>
    <t>No.of days basic pay deducted</t>
  </si>
  <si>
    <t>Basic Pay</t>
  </si>
  <si>
    <t xml:space="preserve">if again deducted CMRF select month </t>
  </si>
  <si>
    <t>H.R.A</t>
  </si>
  <si>
    <t>CCA</t>
  </si>
  <si>
    <t>other</t>
  </si>
  <si>
    <t>Total</t>
  </si>
  <si>
    <t>GPF/CPS</t>
  </si>
  <si>
    <t>PT</t>
  </si>
  <si>
    <t>Net</t>
  </si>
  <si>
    <t>I.R %</t>
  </si>
  <si>
    <t>FROM MONTH ONWARD</t>
  </si>
  <si>
    <t>D.A PARTICULARS</t>
  </si>
  <si>
    <t>Credited to GPF/CPS From  to</t>
  </si>
  <si>
    <t xml:space="preserve">Credited to GPF/CPS From  to </t>
  </si>
  <si>
    <t>ULIP- ULIP or Unit Linked Insurance Plan is primarily an insurance product as is evident from its name itself. It offers you the option to invest your money in debt,equity or mixture of debt and equity funds. </t>
  </si>
  <si>
    <t>Own house</t>
  </si>
  <si>
    <t>B. ELSS -ELSS or Equity Linked Savings Scheme is primarily a mutual fund scheme run by Mutual fund companies. It offers you the option to invest your money in equity only. No option to invest in debt funds here.</t>
  </si>
  <si>
    <t>No change</t>
  </si>
  <si>
    <t>Feb</t>
  </si>
  <si>
    <t>Rented House</t>
  </si>
  <si>
    <t>March</t>
  </si>
  <si>
    <t>Mar</t>
  </si>
  <si>
    <t>Male</t>
  </si>
  <si>
    <t>Not taken Promotion</t>
  </si>
  <si>
    <t>April</t>
  </si>
  <si>
    <t>Apr</t>
  </si>
  <si>
    <t>Female</t>
  </si>
  <si>
    <t>Option given to Increment  date</t>
  </si>
  <si>
    <t>May</t>
  </si>
  <si>
    <t>Option given to Promotion date</t>
  </si>
  <si>
    <t>June</t>
  </si>
  <si>
    <t>Jun</t>
  </si>
  <si>
    <t>Applicable</t>
  </si>
  <si>
    <t>intial fixation</t>
  </si>
  <si>
    <t>July</t>
  </si>
  <si>
    <t>Jul</t>
  </si>
  <si>
    <t>Not Applicable</t>
  </si>
  <si>
    <t>August</t>
  </si>
  <si>
    <t>Aug</t>
  </si>
  <si>
    <t>September</t>
  </si>
  <si>
    <t>Sep</t>
  </si>
  <si>
    <t>October</t>
  </si>
  <si>
    <t>Oct</t>
  </si>
  <si>
    <t>if change</t>
  </si>
  <si>
    <t>November</t>
  </si>
  <si>
    <t>Nov</t>
  </si>
  <si>
    <t>B.pay</t>
  </si>
  <si>
    <t>December</t>
  </si>
  <si>
    <t>Dec</t>
  </si>
  <si>
    <t>incre</t>
  </si>
  <si>
    <t>January</t>
  </si>
  <si>
    <t>Jan</t>
  </si>
  <si>
    <t>8/16/24 Year Increment</t>
  </si>
  <si>
    <t>February</t>
  </si>
  <si>
    <t>If Yes Promotion Taken on</t>
  </si>
  <si>
    <t>SBI Life insurance</t>
  </si>
  <si>
    <t>sex</t>
  </si>
  <si>
    <t>Birla Sun Life insurance</t>
  </si>
  <si>
    <t>House rent</t>
  </si>
  <si>
    <t>before</t>
  </si>
  <si>
    <t>after</t>
  </si>
  <si>
    <t>ICICI Life insurance</t>
  </si>
  <si>
    <t>FORM16-I</t>
  </si>
  <si>
    <t>HDFC Life insurance</t>
  </si>
  <si>
    <t>Reliance Life insurance</t>
  </si>
  <si>
    <t>Avaiva Life insurance</t>
  </si>
  <si>
    <t>SELECT</t>
  </si>
  <si>
    <t>WITH UNDERTAKING</t>
  </si>
  <si>
    <t>ddo</t>
  </si>
  <si>
    <t>WITHOUT UNDERTAKING</t>
  </si>
  <si>
    <t>Sri.</t>
  </si>
  <si>
    <t>MAX</t>
  </si>
  <si>
    <t>MIN</t>
  </si>
  <si>
    <t>CPS</t>
  </si>
  <si>
    <t>Smt.</t>
  </si>
  <si>
    <t>GPF</t>
  </si>
  <si>
    <t>Kum.</t>
  </si>
  <si>
    <t>APGLI</t>
  </si>
  <si>
    <t>GIS</t>
  </si>
  <si>
    <t>LIC SALA</t>
  </si>
  <si>
    <t xml:space="preserve">Children Tution Fee </t>
  </si>
  <si>
    <t>AG GPF</t>
  </si>
  <si>
    <t>Repayement of Home Loan Premium</t>
  </si>
  <si>
    <t>ZP GPF</t>
  </si>
  <si>
    <t>National Savings Certificate(NSC)</t>
  </si>
  <si>
    <t>With Undertaking</t>
  </si>
  <si>
    <t>UNDER 3SEC</t>
  </si>
  <si>
    <t>LIC Annual Premiums Paid by Hand</t>
  </si>
  <si>
    <t>Without Undertaking</t>
  </si>
  <si>
    <t>PLI Annual Premuim</t>
  </si>
  <si>
    <t>Unit Linked Insurance Plan(ULIP)</t>
  </si>
  <si>
    <t>5 Years Fixed Deposits (or)above</t>
  </si>
  <si>
    <t>Not applicable</t>
  </si>
  <si>
    <t>Public Provident Fund</t>
  </si>
  <si>
    <t>Equity Linked Savings Scheme(ELSS)</t>
  </si>
  <si>
    <t>OTHERS</t>
  </si>
  <si>
    <t>12%</t>
  </si>
  <si>
    <t>14.5%</t>
  </si>
  <si>
    <t>UTI Retirement benefit pension fund</t>
  </si>
  <si>
    <t>80C,80CCC,80CCG,80AAT&amp;80CCD</t>
  </si>
  <si>
    <t>20%</t>
  </si>
  <si>
    <t>80C,80CCC</t>
  </si>
  <si>
    <t>80CCG (OR)80TTA</t>
  </si>
  <si>
    <t>30%</t>
  </si>
  <si>
    <t>80D-Medical Insurance Premium-Dependent Parents</t>
  </si>
  <si>
    <t>―</t>
  </si>
  <si>
    <t>80D-Medical Insurance Premium-senior citizen dependent parents</t>
  </si>
  <si>
    <t>PHC</t>
  </si>
  <si>
    <t xml:space="preserve"> Applicable</t>
  </si>
  <si>
    <t xml:space="preserve">80D-Preventive Health Check up </t>
  </si>
  <si>
    <t>Interest on Savings account-80TTA</t>
  </si>
  <si>
    <t>80C,80CCC,80CCG&amp;80AAT</t>
  </si>
  <si>
    <t>Rajiv Gandhi Equity Savings Scheme-80CCG</t>
  </si>
  <si>
    <t>80D-Medical Insurance Premium-Self ,Spouse &amp; Children</t>
  </si>
  <si>
    <t>80D-Medical Insurance Premium-S.Citizens</t>
  </si>
  <si>
    <t>INC PRO</t>
  </si>
  <si>
    <t>Medical Bills Reimbursement ( u/s 17(2)  )</t>
  </si>
  <si>
    <t xml:space="preserve"> 80DDB:</t>
  </si>
  <si>
    <t>80DDB-Expenditure on medical treatment</t>
  </si>
  <si>
    <t>80DDB-Expenditure on medical treatment S.Citizen</t>
  </si>
  <si>
    <t>80G-Donation of Charitable Institution</t>
  </si>
  <si>
    <t>AGI</t>
  </si>
  <si>
    <t>80G-Payments made to Electoral Trusts</t>
  </si>
  <si>
    <t>80E-Interest on Educational Loan</t>
  </si>
  <si>
    <t>AAS</t>
  </si>
  <si>
    <t>PRO</t>
  </si>
  <si>
    <t>PF</t>
  </si>
  <si>
    <t>80DD-Treatment of Handicapped Dependent-above 40%disability</t>
  </si>
  <si>
    <t>AASarrears</t>
  </si>
  <si>
    <t>BP</t>
  </si>
  <si>
    <t>80DD-Treatment of Handicapped Dependent-&gt;80%disability</t>
  </si>
  <si>
    <t>aas</t>
  </si>
  <si>
    <t>fixed da</t>
  </si>
  <si>
    <t>drawn</t>
  </si>
  <si>
    <t>differ</t>
  </si>
  <si>
    <t>june</t>
  </si>
  <si>
    <t>80U-deductions for disabled Person(blind,PH)-&gt;40%disability</t>
  </si>
  <si>
    <t>dec</t>
  </si>
  <si>
    <t xml:space="preserve">80U-deductions for disabled Person(blind,PH)-&gt; 80% disability </t>
  </si>
  <si>
    <t>pro</t>
  </si>
  <si>
    <t>80U-deductions for disabled Person(blind,PH)-above 40%disability</t>
  </si>
  <si>
    <t>promotion</t>
  </si>
  <si>
    <t>80U-deductions for disabled Person(blind,PH)-above 80%disability</t>
  </si>
  <si>
    <t>SURRENDER</t>
  </si>
  <si>
    <t xml:space="preserve">50% exemption </t>
  </si>
  <si>
    <t>DAYS</t>
  </si>
  <si>
    <t>100% exemption</t>
  </si>
  <si>
    <t>CMRF-2</t>
  </si>
  <si>
    <t>CMRF 2</t>
  </si>
  <si>
    <t>CMRF-1</t>
  </si>
  <si>
    <t>EWF</t>
  </si>
  <si>
    <t>SWF</t>
  </si>
  <si>
    <t>IR</t>
  </si>
  <si>
    <t>HM</t>
  </si>
  <si>
    <t>reader</t>
  </si>
  <si>
    <t>EHS</t>
  </si>
  <si>
    <t>LIC</t>
  </si>
  <si>
    <t>SL</t>
  </si>
  <si>
    <t>Not Claimed</t>
  </si>
  <si>
    <t>15 Days</t>
  </si>
  <si>
    <t>surr</t>
  </si>
  <si>
    <t>total</t>
  </si>
  <si>
    <t>30 Days</t>
  </si>
  <si>
    <t>d.a arre</t>
  </si>
  <si>
    <t>jan</t>
  </si>
  <si>
    <t>FPI</t>
  </si>
  <si>
    <t>D.A FIXED@  35.952%</t>
  </si>
  <si>
    <t>D.A DRAWN @  29.96%</t>
  </si>
  <si>
    <t>DIFFERENCE 5.992%</t>
  </si>
  <si>
    <t>AMOUNT TO BE CREDITED IN TO ZPGPF/CPS</t>
  </si>
  <si>
    <t>fixed</t>
  </si>
  <si>
    <t>I st half CPS NET FIXED</t>
  </si>
  <si>
    <t>I st half CPS NET DRAWN</t>
  </si>
  <si>
    <t>IST HALF CPS 10% AMOUNT</t>
  </si>
  <si>
    <t>II ND HALF CPS NET FIXED</t>
  </si>
  <si>
    <t>II ND HALF CPS NET DRAWN</t>
  </si>
  <si>
    <t>FIXED</t>
  </si>
  <si>
    <t>DRAWN</t>
  </si>
  <si>
    <t>DIFFER</t>
  </si>
  <si>
    <t>surrender</t>
  </si>
  <si>
    <t>PROM</t>
  </si>
  <si>
    <t>DA IIND HALF DRAWN</t>
  </si>
  <si>
    <t>difference</t>
  </si>
  <si>
    <t>DA IIND HALF FIXED</t>
  </si>
  <si>
    <t>IST HALF CPS 90% AMOUNT</t>
  </si>
  <si>
    <t>GRAND TATAL</t>
  </si>
  <si>
    <t>CPS II ND HALF</t>
  </si>
  <si>
    <t>DA NET</t>
  </si>
  <si>
    <t>surrender CPS NET</t>
  </si>
  <si>
    <t>AAS CPS NET</t>
  </si>
  <si>
    <t>CPS IST HALF</t>
  </si>
  <si>
    <t>net</t>
  </si>
  <si>
    <t>No</t>
  </si>
  <si>
    <t>PROM CPS NET</t>
  </si>
  <si>
    <t>YES</t>
  </si>
  <si>
    <t>total CPS NET</t>
  </si>
  <si>
    <t>GRAND TAOTAL</t>
  </si>
  <si>
    <t>NET</t>
  </si>
  <si>
    <t>SURR</t>
  </si>
  <si>
    <t>Credited to GPF/CPS From JAN</t>
  </si>
  <si>
    <t xml:space="preserve">Credited to GPF/CPS From JULY </t>
  </si>
  <si>
    <t>Own House</t>
  </si>
  <si>
    <t>Income from House Property Rs.</t>
  </si>
  <si>
    <t>PAY</t>
  </si>
  <si>
    <t>DA</t>
  </si>
  <si>
    <r>
      <t xml:space="preserve">Actual House Rent paid by you </t>
    </r>
    <r>
      <rPr>
        <b/>
        <sz val="9"/>
        <rFont val="Calibri"/>
        <family val="2"/>
      </rPr>
      <t>minus</t>
    </r>
    <r>
      <rPr>
        <sz val="9"/>
        <rFont val="Calibri"/>
        <family val="2"/>
      </rPr>
      <t xml:space="preserve"> 10% of your Salary</t>
    </r>
  </si>
  <si>
    <t>Actual House Rent paid  minus 10% of  Salary</t>
  </si>
  <si>
    <t>—</t>
  </si>
  <si>
    <t>tax rebate</t>
  </si>
  <si>
    <t>AAS BILL MONTH</t>
  </si>
  <si>
    <t>DA BILL-1</t>
  </si>
  <si>
    <t>DA BILL-2</t>
  </si>
  <si>
    <t>PROMOTION</t>
  </si>
  <si>
    <t>Not deducted</t>
  </si>
  <si>
    <t>S.LEAVE</t>
  </si>
  <si>
    <t>DA%</t>
  </si>
  <si>
    <t>HRA%</t>
  </si>
  <si>
    <t>Remark</t>
  </si>
  <si>
    <t>S.No</t>
  </si>
  <si>
    <t>Month</t>
  </si>
  <si>
    <t>Pay</t>
  </si>
  <si>
    <t>FPI/PP</t>
  </si>
  <si>
    <t>HMA</t>
  </si>
  <si>
    <t>Reader.Allo</t>
  </si>
  <si>
    <t>Gross Total</t>
  </si>
  <si>
    <t>APGLIF</t>
  </si>
  <si>
    <t xml:space="preserve">GIS </t>
  </si>
  <si>
    <t>LIC (SSS)</t>
  </si>
  <si>
    <t>CMRF,SWF&amp; EWF</t>
  </si>
  <si>
    <t>Adva. Tax</t>
  </si>
  <si>
    <t>Total Deductions</t>
  </si>
  <si>
    <t>BACK</t>
  </si>
  <si>
    <t>ANNE-II</t>
  </si>
  <si>
    <t>FORM-16 PAGE-I</t>
  </si>
  <si>
    <t>FORM-16 PAGE-11</t>
  </si>
  <si>
    <t>RENT RECEIPT</t>
  </si>
  <si>
    <t>TOTAL</t>
  </si>
  <si>
    <t>Signature of the DDO</t>
  </si>
  <si>
    <t>Signature of the Assese</t>
  </si>
  <si>
    <t xml:space="preserve">                                                                                                www.stuapkurnool.blogspot.com  </t>
  </si>
  <si>
    <t>Financial year</t>
  </si>
  <si>
    <t>ANNEXURE - II</t>
  </si>
  <si>
    <t>Assessment year</t>
  </si>
  <si>
    <t>INCOME TAX CALCULATION</t>
  </si>
  <si>
    <t>School</t>
  </si>
  <si>
    <t>Whether living in ---------</t>
  </si>
  <si>
    <t>Gross Salary………</t>
  </si>
  <si>
    <t>Rs.</t>
  </si>
  <si>
    <t>H.R.A. Exemption as per eligibility U/s. 10(13-A)</t>
  </si>
  <si>
    <t>a)</t>
  </si>
  <si>
    <t>Actual HRA received</t>
  </si>
  <si>
    <t>b)</t>
  </si>
  <si>
    <t>c)</t>
  </si>
  <si>
    <t>40% of Salary (Salary means Basic Pay+D.A)</t>
  </si>
  <si>
    <t>Total Salary (2-3)</t>
  </si>
  <si>
    <t>Deductions from Salary Income</t>
  </si>
  <si>
    <t>Exemption from Conveyance Allowance U/s. 10(14) (i)</t>
  </si>
  <si>
    <t>Profession Tax U/s 16 (3) B</t>
  </si>
  <si>
    <t>Income From Salary (4-5)</t>
  </si>
  <si>
    <t>Add: Income From other sources</t>
  </si>
  <si>
    <t>Add: Income From Capital Gains</t>
  </si>
  <si>
    <t>Add: Income from House Property U/s 24(vi)</t>
  </si>
  <si>
    <t>Loss from House Property(H.B.Loan Int u/s 24 (B)………</t>
  </si>
  <si>
    <r>
      <t>―</t>
    </r>
    <r>
      <rPr>
        <b/>
        <sz val="10"/>
        <rFont val="Book Antiqua"/>
        <family val="1"/>
      </rPr>
      <t>Rs.</t>
    </r>
  </si>
  <si>
    <t>Gross Total Income  (6+7+8+9)</t>
  </si>
  <si>
    <t>Deductions</t>
  </si>
  <si>
    <t>d)</t>
  </si>
  <si>
    <t>e)</t>
  </si>
  <si>
    <t>f)</t>
  </si>
  <si>
    <t>80 EE -(Additional amount of HBL Int)</t>
  </si>
  <si>
    <t>g)</t>
  </si>
  <si>
    <t>h)</t>
  </si>
  <si>
    <t>i)</t>
  </si>
  <si>
    <t>E.W.F,  S.W.F  &amp; CMRF</t>
  </si>
  <si>
    <t>j)</t>
  </si>
  <si>
    <t>TOTAL-----------</t>
  </si>
  <si>
    <t>Gross Total Income  (10-11)</t>
  </si>
  <si>
    <t>Savings U/s 80C (Limited to One lakh) &amp;80CCG (addition Rs.25000)</t>
  </si>
  <si>
    <t>A/c (</t>
  </si>
  <si>
    <t>)</t>
  </si>
  <si>
    <t>Pol. No.(</t>
  </si>
  <si>
    <t>LIC Premium Deducted in Salary Savings Scheme</t>
  </si>
  <si>
    <t>k)</t>
  </si>
  <si>
    <t>L)</t>
  </si>
  <si>
    <t>Total Savings</t>
  </si>
  <si>
    <r>
      <t>Net Taxable Income (12-13)</t>
    </r>
    <r>
      <rPr>
        <b/>
        <sz val="9"/>
        <rFont val="Book Antiqua"/>
        <family val="1"/>
      </rPr>
      <t xml:space="preserve"> rounded to nearest Rs.10/-</t>
    </r>
  </si>
  <si>
    <t>Tax on Income</t>
  </si>
  <si>
    <t>Nil</t>
  </si>
  <si>
    <t>Tax on total income</t>
  </si>
  <si>
    <t>Total Tax Payable (16+17+18)</t>
  </si>
  <si>
    <t>Details of Advance Tax Deductions</t>
  </si>
  <si>
    <t>Upto</t>
  </si>
  <si>
    <t>Adv. Tax Deductions</t>
  </si>
  <si>
    <t>Total Advance Tax    Rs.</t>
  </si>
  <si>
    <t>Tax to be Paid now</t>
  </si>
  <si>
    <t>Signature of the Drawing Officer</t>
  </si>
  <si>
    <t>Signature of the Employee</t>
  </si>
  <si>
    <r>
      <t>www.stuapkurnool.blogspot.com</t>
    </r>
    <r>
      <rPr>
        <sz val="8"/>
        <rFont val="Book Antiqua"/>
        <family val="1"/>
      </rPr>
      <t xml:space="preserve"> </t>
    </r>
  </si>
  <si>
    <r>
      <t>FORM No. 16</t>
    </r>
    <r>
      <rPr>
        <sz val="14"/>
        <rFont val="Book Antiqua"/>
        <family val="1"/>
      </rPr>
      <t xml:space="preserve">                                                                    </t>
    </r>
    <r>
      <rPr>
        <sz val="16"/>
        <rFont val="Book Antiqua"/>
        <family val="1"/>
      </rPr>
      <t xml:space="preserve">                                                                                                                                                                                                                                                    </t>
    </r>
    <r>
      <rPr>
        <sz val="10"/>
        <rFont val="Book Antiqua"/>
        <family val="1"/>
      </rPr>
      <t xml:space="preserve"> ( Vide rule 31(1)(a) of Income Tax Rules, 1962 )</t>
    </r>
  </si>
  <si>
    <t>Certificate under section 203 of the Income-tax Act, 1961                                                                                                                                                                                                                                    for Tax deducted at source from income chargeable under the head "Salaries"</t>
  </si>
  <si>
    <t>NAME AND ADDRESS OF THE EMPLOYER</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</si>
  <si>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</si>
  <si>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</si>
  <si>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</si>
  <si>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</si>
  <si>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</si>
  <si>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</si>
  <si>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AMOUNT</t>
  </si>
  <si>
    <t>Period</t>
  </si>
  <si>
    <t>Assessment</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</si>
  <si>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</si>
  <si>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</si>
  <si>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</si>
  <si>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</si>
  <si>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</si>
  <si>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</si>
  <si>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</si>
  <si>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</si>
  <si>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</si>
  <si>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Less: Allowance to the extent exempted U/s 10 &amp; 17</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</si>
  <si>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</si>
  <si>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</si>
  <si>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</si>
  <si>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</si>
  <si>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</si>
  <si>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</si>
  <si>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</si>
  <si>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</si>
  <si>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</si>
  <si>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Add:Income from House Property</t>
  </si>
  <si>
    <r>
      <t xml:space="preserve">Loss </t>
    </r>
    <r>
      <rPr>
        <b/>
        <sz val="10"/>
        <rFont val="Book Antiqua"/>
        <family val="1"/>
      </rPr>
      <t>from House Property(H.B.Loan Int u/s 24 (B)</t>
    </r>
  </si>
  <si>
    <r>
      <t>―</t>
    </r>
    <r>
      <rPr>
        <b/>
        <sz val="9"/>
        <rFont val="Book Antiqua"/>
        <family val="1"/>
      </rPr>
      <t>Rs.</t>
    </r>
  </si>
  <si>
    <t>Gross Total Income (6+7)</t>
  </si>
  <si>
    <t>Deductions Under Chapter VI-A</t>
  </si>
  <si>
    <t>A)</t>
  </si>
  <si>
    <t>UnderSection 80C,80CCC,80CCD.</t>
  </si>
  <si>
    <t>Gross</t>
  </si>
  <si>
    <t>Qualifying</t>
  </si>
  <si>
    <t>Deductible</t>
  </si>
  <si>
    <t>Section 80C,80CCC&amp;80CCG</t>
  </si>
  <si>
    <t>Amount</t>
  </si>
  <si>
    <t>i</t>
  </si>
  <si>
    <t>ii</t>
  </si>
  <si>
    <t>A.P.G.L.I</t>
  </si>
  <si>
    <t>iii</t>
  </si>
  <si>
    <t>G.I.S</t>
  </si>
  <si>
    <t>iv</t>
  </si>
  <si>
    <t>LIC Premium Deducted in SSS</t>
  </si>
  <si>
    <t>v</t>
  </si>
  <si>
    <t>vi</t>
  </si>
  <si>
    <t>vii</t>
  </si>
  <si>
    <t>viii</t>
  </si>
  <si>
    <t>ix</t>
  </si>
  <si>
    <t>x</t>
  </si>
  <si>
    <t>xi</t>
  </si>
  <si>
    <t>Total Under  Sections  80C,80CCC,80CCG &amp; 80TTA……</t>
  </si>
  <si>
    <t>Section 80CCD</t>
  </si>
  <si>
    <r>
      <t xml:space="preserve">Aggrigate Amount Deductible Under Sections 80C,80CCC,80CCG,80TTA&amp;80CCD </t>
    </r>
    <r>
      <rPr>
        <sz val="10"/>
        <rFont val="Book Antiqua"/>
        <family val="1"/>
      </rPr>
      <t>……….</t>
    </r>
  </si>
  <si>
    <t>Note:</t>
  </si>
  <si>
    <t>1.aggregate amount deductible under section 80c shall not exceed 1.5 lakh rupees.</t>
  </si>
  <si>
    <t>2.aggregate amount deductible under section 80C,80CCC,80CCD, shall not exceed 1.5 lakh rupees.and addition Rs.25000 U/S 80CCG</t>
  </si>
  <si>
    <t>www.stuapkurnool.blogspot.com</t>
  </si>
  <si>
    <t>B)</t>
  </si>
  <si>
    <t>Other Sections Under Chapter VI A</t>
  </si>
  <si>
    <t>( Under Sections 80E,80G,80DD etc )</t>
  </si>
  <si>
    <t>EWF  , SWF  &amp; CMRF</t>
  </si>
  <si>
    <t>Total Under Sections 80G,80E,80DD etc…..</t>
  </si>
  <si>
    <t>Aggregate of Deductible Amounts U/Chapter VIA (A+B)………</t>
  </si>
  <si>
    <t>TOTAL INCOME  (8-10) (Round off As per U/s 288 A)</t>
  </si>
  <si>
    <t>TAX ON TOTAL INCOME Rs.</t>
  </si>
  <si>
    <t>TAX PAYABLE (12+13+14)</t>
  </si>
  <si>
    <t>Relief under section 89 (attach details)</t>
  </si>
  <si>
    <t>TAX PAYABLE (15-16)</t>
  </si>
  <si>
    <r>
      <t>Less</t>
    </r>
    <r>
      <rPr>
        <sz val="10"/>
        <rFont val="Book Antiqua"/>
        <family val="1"/>
      </rPr>
      <t>:(a) Tax deducted at source U/s 192(1)</t>
    </r>
  </si>
  <si>
    <t xml:space="preserve"> (b)Tax paid by the employer on behalf of the</t>
  </si>
  <si>
    <t xml:space="preserve">     Employee U/S 192 (1A) on perquisited U/S 17 (2)…….</t>
  </si>
  <si>
    <t>TAX PAYABLE / REFUNDABLE (17-18)</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</si>
  <si>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</si>
  <si>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</si>
  <si>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</si>
  <si>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</si>
  <si>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</si>
  <si>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</si>
  <si>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</si>
  <si>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</si>
  <si>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</si>
  <si>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</si>
  <si>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</si>
  <si>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</si>
  <si>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</si>
  <si>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</si>
  <si>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</si>
  <si>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</si>
  <si>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</si>
  <si>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</si>
  <si>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</si>
  <si>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</si>
  <si>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 xml:space="preserve">                           Sign--------</t>
  </si>
  <si>
    <t>Place:</t>
  </si>
  <si>
    <t xml:space="preserve">                              Signature of the person responsible for deduction of tax</t>
  </si>
  <si>
    <t>Date:</t>
  </si>
  <si>
    <t xml:space="preserve">                              Full Name--</t>
  </si>
  <si>
    <t xml:space="preserve">                                Designation-</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</si>
  <si>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</si>
  <si>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</si>
  <si>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</si>
  <si>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</si>
  <si>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</si>
  <si>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</si>
  <si>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</si>
  <si>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</si>
  <si>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</si>
  <si>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</si>
  <si>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</si>
  <si>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</si>
  <si>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</si>
  <si>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</si>
  <si>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</si>
  <si>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</si>
  <si>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</si>
  <si>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</si>
  <si>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</si>
  <si>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</si>
  <si>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</si>
  <si>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</si>
  <si>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</si>
  <si>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</si>
  <si>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</si>
  <si>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</si>
  <si>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</si>
  <si>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</si>
  <si>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</si>
  <si>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</si>
  <si>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</si>
  <si>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</si>
  <si>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</si>
  <si>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</si>
  <si>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</si>
  <si>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</si>
  <si>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</si>
  <si>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</si>
  <si>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</si>
  <si>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</si>
  <si>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</si>
  <si>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</si>
  <si>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</si>
  <si>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</si>
  <si>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</si>
  <si>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</si>
  <si>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</si>
  <si>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</si>
  <si>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</si>
  <si>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</si>
  <si>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</si>
  <si>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</si>
  <si>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</si>
  <si>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</si>
  <si>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</si>
  <si>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</si>
  <si>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</si>
  <si>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</si>
  <si>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</si>
  <si>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</si>
  <si>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</si>
  <si>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</si>
  <si>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</si>
  <si>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</si>
  <si>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</si>
  <si>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</si>
  <si>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</si>
  <si>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</si>
  <si>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</si>
  <si>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</si>
  <si>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</si>
  <si>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</si>
  <si>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</si>
  <si>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</si>
  <si>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</si>
  <si>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</si>
  <si>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</si>
  <si>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</si>
  <si>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</si>
  <si>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</si>
  <si>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</si>
  <si>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</si>
  <si>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</si>
  <si>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</si>
  <si>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</si>
  <si>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</si>
  <si>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</si>
  <si>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</si>
  <si>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</si>
  <si>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</si>
  <si>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</si>
  <si>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</si>
  <si>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</si>
  <si>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</si>
  <si>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</si>
  <si>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</si>
  <si>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</si>
  <si>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</si>
  <si>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</si>
  <si>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Number</t>
  </si>
  <si>
    <t>Rupees in Words Conversion</t>
  </si>
  <si>
    <t xml:space="preserve"> Thousand </t>
  </si>
  <si>
    <t xml:space="preserve"> Hundred </t>
  </si>
  <si>
    <t>Two Thousand Four Hundred and Fifty seven</t>
  </si>
  <si>
    <t>RECEIPT OF HOUSE RENT</t>
  </si>
  <si>
    <t>(Under Section 1 (13-A) of Income Tax Act )</t>
  </si>
  <si>
    <t>Employee who is drawing HRA upto Rs.3000/- (Annually Rs.36000/- ) per month will be exempted from production of Rent Recept</t>
  </si>
  <si>
    <t>Your drawing HRA=Rs 41824/- It is more than Rs.36000/- So reduce Rent, Otherwise You should submit Rent Receipt</t>
  </si>
  <si>
    <t>House Owner Name</t>
  </si>
  <si>
    <t>House No.</t>
  </si>
  <si>
    <t>colony/village</t>
  </si>
  <si>
    <t>Mdl:</t>
  </si>
  <si>
    <t xml:space="preserve"> Date:                                                                                                             </t>
  </si>
  <si>
    <t>Dist:</t>
  </si>
  <si>
    <t>Signature of the House Owner</t>
  </si>
  <si>
    <t xml:space="preserve">       </t>
  </si>
  <si>
    <t>FORM NO. 10-IA</t>
  </si>
  <si>
    <t>[See sub-rule (2) of rule 11A]</t>
  </si>
  <si>
    <t>Certificate of the medical authority for certifying ‘person with disability’, ‘severe disability',</t>
  </si>
  <si>
    <t>autsm', ‘cerebral palsy’ and ‘multiple disability’ for purposes of section 80 DD and section 80U</t>
  </si>
  <si>
    <t>Certificate No.</t>
  </si>
  <si>
    <t>Date :</t>
  </si>
  <si>
    <t xml:space="preserve">         This is to certify that Shri/Smt./Ms.________________________________ son/daughter of</t>
  </si>
  <si>
    <t>Shri____________________________________, age________ years___________male/female*</t>
  </si>
  <si>
    <t>residing at______________________________________, Registration No._______________is a</t>
  </si>
  <si>
    <t xml:space="preserve">person with disability/severe disability* suffering from autism/cerebral palsy/multiple disability.       </t>
  </si>
  <si>
    <t>2. This condition is progressive/non-progressive/likely to improve/not likely to improve*.</t>
  </si>
  <si>
    <t>3. Reassessment is recommended/not recommended after a period of _____months/years</t>
  </si>
  <si>
    <t>Sd/-</t>
  </si>
  <si>
    <t>(Neurologist/Pediatric Neurologist/Civil Surgeon/</t>
  </si>
  <si>
    <t>Chief Medical Officer*)</t>
  </si>
  <si>
    <t>Name :___________________</t>
  </si>
  <si>
    <t>Address of Institution/Government hospital :</t>
  </si>
  <si>
    <t>____________________________________</t>
  </si>
  <si>
    <t>Qualification/designation of specialist :____________________</t>
  </si>
  <si>
    <t>SEAL</t>
  </si>
  <si>
    <t>Signature/Thumb impression* of the patient</t>
  </si>
  <si>
    <t>Note : *Strike out whichever is not applicable.</t>
  </si>
  <si>
    <t>FORM NO. 10-I</t>
  </si>
  <si>
    <t>[See rule 11DD]</t>
  </si>
  <si>
    <t>Certificate of prescribed authority for the purposes of section 80DDB</t>
  </si>
  <si>
    <t xml:space="preserve">      1. Name of the Patient</t>
  </si>
  <si>
    <t xml:space="preserve">      2. Address</t>
  </si>
  <si>
    <t xml:space="preserve">      3. Father’s name</t>
  </si>
  <si>
    <t xml:space="preserve">      4. Name and address of the person on whom the patient is dependent</t>
  </si>
  <si>
    <t xml:space="preserve">          and his relationship with the patient.</t>
  </si>
  <si>
    <t xml:space="preserve">      5. Name of the disease or ailment</t>
  </si>
  <si>
    <t xml:space="preserve">          (please see rule 11DD)</t>
  </si>
  <si>
    <t xml:space="preserve">      6. For diseases or ailments mentioned in item (i) of clause (a) of</t>
  </si>
  <si>
    <t xml:space="preserve">          sub-rule (1), whether the disability is 40% or more (Please specify the extent)</t>
  </si>
  <si>
    <t xml:space="preserve">      7. Name, address, registration number and qualification of the</t>
  </si>
  <si>
    <t xml:space="preserve">          specialist issuing the certificate, along with the name and address</t>
  </si>
  <si>
    <t xml:space="preserve">          of the Government hospital [see rule 11DD(2)] Verification</t>
  </si>
  <si>
    <t>VERIFICATION</t>
  </si>
  <si>
    <t>This is to verify that I, Dr.________________________________________________ s/o (w/o)</t>
  </si>
  <si>
    <t>Shri_____________________, in the case of the patient Shri/Smt./Ms.________________________,</t>
  </si>
  <si>
    <t>after  considering  the  entire  history of  illness,  careful  examination  and  appropriate  investigations,</t>
  </si>
  <si>
    <t>am of the opinion that the patient is suffering from______________________________disease/ailment</t>
  </si>
  <si>
    <t>during the previous year ending on 31st March,_______________________</t>
  </si>
  <si>
    <t>I also certify (only in case of neurological disease) that the extent of disability is more than 40%)</t>
  </si>
  <si>
    <t>(Strike off, if not applicable).</t>
  </si>
  <si>
    <t>I certify that the information furnished above is true to the best of my knowledge.</t>
  </si>
  <si>
    <t>Date _______________                                                                     Signature</t>
  </si>
  <si>
    <t>Place _______________</t>
  </si>
  <si>
    <t xml:space="preserve">                                                                                                (Name and Address)</t>
  </si>
  <si>
    <t xml:space="preserve">   To be countersigned by the Head of the Government hospital, where the prescribed authority is a</t>
  </si>
  <si>
    <t>specialist with post-graduate degree in General or Internal Medicine.</t>
  </si>
  <si>
    <t>Date ______________                                                                    Signature</t>
  </si>
  <si>
    <t>Place ______________</t>
  </si>
  <si>
    <t xml:space="preserve">                                                                                                 (Name and Address)</t>
  </si>
  <si>
    <t>PROCEEDINGS OF THE HEAD MASTER Z.P.H.SCHOOL- ……………………….</t>
  </si>
  <si>
    <t>Present: Sri/Smt. --------------------------------------------------------------</t>
  </si>
  <si>
    <t xml:space="preserve">L.Dis No.---------------- </t>
  </si>
  <si>
    <r>
      <t xml:space="preserve">Sub:  </t>
    </r>
    <r>
      <rPr>
        <sz val="12.5"/>
        <color indexed="8"/>
        <rFont val="TTE2524ED0t00"/>
        <family val="0"/>
      </rPr>
      <t>Sanction of ----------------------leave to Sri/Smt.-----------------------------SA, Z.P.H S ------------------------Orders issued – Regd.</t>
    </r>
  </si>
  <si>
    <t xml:space="preserve">Ref:    (1). A.P.Leave rules 1933,Amended from time to time, Rule 13. </t>
  </si>
  <si>
    <t xml:space="preserve"> (2). G.O.Ms.No.186,Fin,dt.23.7.09(commuted leave On  medical  grounds).</t>
  </si>
  <si>
    <t xml:space="preserve"> (3). G.O.Ms.No.449,Fin-  dt,28.10.96 (Full pay on HPL for T.B./ cancer/ heart/        neuro diseases upto 6 months).</t>
  </si>
  <si>
    <t xml:space="preserve">(4) . GO.Ms.No.254, Fin, dt.10.11.95.(120 days Maternity leave /Abortion leave 42 days) </t>
  </si>
  <si>
    <t>(5). G.O.Ms.No.231,fin.dt.16.9.05 (paternity leave 15 days)</t>
  </si>
  <si>
    <t xml:space="preserve">(6). G.O.Ms.No.40.Edn.dt.7.5.02 </t>
  </si>
  <si>
    <t xml:space="preserve">(7). G.O.Ms.No.70,Edn.dt.6.7.09 </t>
  </si>
  <si>
    <t xml:space="preserve">(8). Medical certificates issued by R.M.P. </t>
  </si>
  <si>
    <t>(9) Application of the Individual.</t>
  </si>
  <si>
    <r>
      <t>In exercise of the powers delegated in terms of GOs 6</t>
    </r>
    <r>
      <rPr>
        <sz val="8.5"/>
        <color indexed="8"/>
        <rFont val="TTE2524ED0t00"/>
        <family val="0"/>
      </rPr>
      <t xml:space="preserve">th </t>
    </r>
    <r>
      <rPr>
        <sz val="12.5"/>
        <color indexed="8"/>
        <rFont val="TTE2524ED0t00"/>
        <family val="0"/>
      </rPr>
      <t>&amp; 7</t>
    </r>
    <r>
      <rPr>
        <sz val="8.5"/>
        <color indexed="8"/>
        <rFont val="TTE2524ED0t00"/>
        <family val="0"/>
      </rPr>
      <t xml:space="preserve">th </t>
    </r>
    <r>
      <rPr>
        <sz val="12.5"/>
        <color indexed="8"/>
        <rFont val="TTE2524ED0t00"/>
        <family val="0"/>
      </rPr>
      <t>read above, The applicant is sanctioned leave as detailed below on the strength of connected Govt. orders relating to provisions.</t>
    </r>
  </si>
  <si>
    <t>A N N E X U R E</t>
  </si>
  <si>
    <t>1. Name &amp; post &amp; School :--------------------------------------------------------------</t>
  </si>
  <si>
    <t>2. Date from which the Applicant has been on leave</t>
  </si>
  <si>
    <t>:From dt ------------- to dt.--------------, ----days</t>
  </si>
  <si>
    <t xml:space="preserve">    (Total days) </t>
  </si>
  <si>
    <t>: From dt ------------- to dt---------------, -----days</t>
  </si>
  <si>
    <t>: From dt ------------- to dt ---------------, -----days</t>
  </si>
  <si>
    <t xml:space="preserve">3. Nature of leave applied for </t>
  </si>
  <si>
    <t>: ------------------ on Personal/Medical Reasons</t>
  </si>
  <si>
    <t>4. Delivery &amp; two living children certificates submitted</t>
  </si>
  <si>
    <t xml:space="preserve">    In case of Meternity leave or Paternity leave </t>
  </si>
  <si>
    <t>:    Yes</t>
  </si>
  <si>
    <t>5. Type of leave Sanctioned and dates :</t>
  </si>
  <si>
    <t>NATURE OF LEAVE</t>
  </si>
  <si>
    <t>FROM dt</t>
  </si>
  <si>
    <t>TO dt</t>
  </si>
  <si>
    <r>
      <t>TOTAL DAYS</t>
    </r>
    <r>
      <rPr>
        <sz val="12.5"/>
        <color indexed="8"/>
        <rFont val="TTE2524ED0t00"/>
        <family val="0"/>
      </rPr>
      <t xml:space="preserve"> sanctioned</t>
    </r>
  </si>
  <si>
    <t>Half Pay Leave</t>
  </si>
  <si>
    <t>Commuted leave on</t>
  </si>
  <si>
    <t>Medical Grounds</t>
  </si>
  <si>
    <t>Maternity Leave</t>
  </si>
  <si>
    <t>Paternity Leave</t>
  </si>
  <si>
    <t>Earned Leave</t>
  </si>
  <si>
    <t>6. Balance of Leave at Credit after this Sanction : Half pay Leave ------ days,Earned leave------days</t>
  </si>
  <si>
    <t>7. Date of Joining after expiry of leave he/she applied for :dt------------------------------------------</t>
  </si>
  <si>
    <t xml:space="preserve">    (Reposting date incase of Maternity/Paternity leave)</t>
  </si>
  <si>
    <t>8. Whether necessary entries are made in the S.R. : YES</t>
  </si>
  <si>
    <t>9. Dates permitted to avail as public Holidays (Prefix/suffix): dt ------------------------</t>
  </si>
  <si>
    <t>10. Remarks if any :--------------------------------------------------------</t>
  </si>
  <si>
    <t>Signature of Head Master,</t>
  </si>
  <si>
    <t>Copy to Individual,</t>
  </si>
  <si>
    <t>Copy to STO ----------------------------------</t>
  </si>
  <si>
    <t>3.DEDUCTIONS Under Chapter VI A..U/s. 80C</t>
  </si>
  <si>
    <t>a) GPF Deductions</t>
  </si>
  <si>
    <t xml:space="preserve">b) APGLI Deductions </t>
  </si>
  <si>
    <t>c) Group Insurance</t>
  </si>
  <si>
    <t>d) LIC Policies Premium (Yearly)</t>
  </si>
  <si>
    <t>e) Subscription to NSC VIII issue</t>
  </si>
  <si>
    <t>f) Tution fee for 2 children</t>
  </si>
  <si>
    <t>g) Repayment of HBA instalments.</t>
  </si>
  <si>
    <t>h) LIC Annuity Plan (Jeevan Dhara &amp; Jeevan Aksay etc.)</t>
  </si>
  <si>
    <t>i) UTI Retirement Benefit Pention fund.</t>
  </si>
  <si>
    <t>j) ULIP</t>
  </si>
  <si>
    <t>k) PLI</t>
  </si>
  <si>
    <t>l) Public Provident fund</t>
  </si>
  <si>
    <t>m) Subscriptions made to equity shares/Debentures</t>
  </si>
  <si>
    <t>n) Subscription made to any Mutual fund (ELSS)</t>
  </si>
  <si>
    <t>o) Subscription to Deposit Scheme of National housing Bank</t>
  </si>
  <si>
    <t>p) Infrastructure Bonds (ICICI/IDBI etc)</t>
  </si>
  <si>
    <t>q) Fixed Deposits in Bank More Than (5) years.</t>
  </si>
  <si>
    <t xml:space="preserve">r) LIC Pension fund U/s. 80 CCC (Max. Rs. 10000) </t>
  </si>
  <si>
    <t>s) Contribution to any Pension scheme U/s. 80 CCD (Max. 10% of salary)</t>
  </si>
  <si>
    <t>t)</t>
  </si>
  <si>
    <t>4.OTHER DEDUCTIONS UNDER CHAPTER VI A.</t>
  </si>
  <si>
    <t>a) Medical Insurance premia U/S. 80-D upto 10000/- or Rs.15000/- in case of senior citizen</t>
  </si>
  <si>
    <t>b) Treatment of Handicapped Dependent U/S.80-DD 
(Rs.50000 above 40% disability OR Rs.100000 above 80% disiability)</t>
  </si>
  <si>
    <t>c) Expenditure on Medical Treatment of Dependent U/S.80-DDB 
(Rs.40000 or Actual expenditure whichever is less OR Rs.60000 or actual expenditure whichever is less if the dependent is above 65 years of age)</t>
  </si>
  <si>
    <t>d) Donation to Charitable institution U/S.80-G</t>
  </si>
  <si>
    <t>i) Approved institutions 50% of qualifying amount.</t>
  </si>
  <si>
    <t>ii) Kargil,National calmaties &amp; PM/CM Relief fund (100%)</t>
  </si>
  <si>
    <t>e) Maintenance of Totally Blind or P.H. U/S.80-U 
(upto Rs.50000 &amp; Rs.75000 if the disiability is more than 80% for self)</t>
  </si>
  <si>
    <t>f) Interest of House Building Advance.</t>
  </si>
  <si>
    <t xml:space="preserve">g)Interest of Educational Loan </t>
  </si>
  <si>
    <t>f) EWF and  SWF</t>
  </si>
  <si>
    <t>Indian Income Tax deductions, Tax exemption limits</t>
  </si>
  <si>
    <t>Financial year 2008/2009 (will be updated later for 2009/2010)</t>
  </si>
  <si>
    <t>Income Tax Deductions</t>
  </si>
  <si>
    <t>Explaination</t>
  </si>
  <si>
    <r>
      <t>(</t>
    </r>
    <r>
      <rPr>
        <sz val="8"/>
        <color indexed="8"/>
        <rFont val="Verdana"/>
        <family val="2"/>
      </rPr>
      <t>tax exemption limit</t>
    </r>
  </si>
  <si>
    <r>
      <t>for </t>
    </r>
    <r>
      <rPr>
        <i/>
        <sz val="8"/>
        <color indexed="8"/>
        <rFont val="Verdana"/>
        <family val="2"/>
      </rPr>
      <t>senior citizen</t>
    </r>
    <r>
      <rPr>
        <sz val="8"/>
        <color indexed="8"/>
        <rFont val="Verdana"/>
        <family val="2"/>
      </rPr>
      <t> is</t>
    </r>
  </si>
  <si>
    <t>no limit !</t>
  </si>
  <si>
    <r>
      <t>Indian Income Tax deduction - </t>
    </r>
    <r>
      <rPr>
        <b/>
        <u val="single"/>
        <sz val="10"/>
        <color indexed="12"/>
        <rFont val="Verdana"/>
        <family val="2"/>
      </rPr>
      <t>Section 80C</t>
    </r>
    <r>
      <rPr>
        <sz val="10"/>
        <color indexed="63"/>
        <rFont val="Verdana"/>
        <family val="2"/>
      </rPr>
      <t> (</t>
    </r>
    <r>
      <rPr>
        <u val="single"/>
        <sz val="8"/>
        <color indexed="12"/>
        <rFont val="Verdana"/>
        <family val="2"/>
      </rPr>
      <t>official page</t>
    </r>
    <r>
      <rPr>
        <sz val="8"/>
        <color indexed="63"/>
        <rFont val="Verdana"/>
        <family val="2"/>
      </rPr>
      <t> India Income Tax Act</t>
    </r>
    <r>
      <rPr>
        <sz val="10"/>
        <color indexed="63"/>
        <rFont val="Verdana"/>
        <family val="2"/>
      </rPr>
      <t>)</t>
    </r>
  </si>
  <si>
    <t>Section 80C of Indian Income Tax Act is the most popular because it is directly related to tax deductions for your monthly savings or life insurance. In financial years 2008/2009 and also in 2009/2010 the maximum income tax deduction allowed under section 80C is 1,00,000. The following is a list of important ways in which a taxpayer can get benefit of section 80C of Indian Income Tax Act.</t>
  </si>
  <si>
    <r>
      <t>1. Provident Fund (PF)</t>
    </r>
    <r>
      <rPr>
        <sz val="10"/>
        <color indexed="63"/>
        <rFont val="Verdana"/>
        <family val="2"/>
      </rPr>
      <t>: Any contributions to Provident Fund, Voluntary provident Fund (VPF) or savings made in Public Provident Fund (PPF Account) are eligible for income tax deduction under section 80C of Indian Income Tax Act.</t>
    </r>
  </si>
  <si>
    <r>
      <t>2. Life Insurance Premiums</t>
    </r>
    <r>
      <rPr>
        <sz val="10"/>
        <color indexed="63"/>
        <rFont val="Verdana"/>
        <family val="2"/>
      </rPr>
      <t>: Any Life Insurance premiums (for one or more insurance policies) paid by you for yourself, your spouse or your children is eligible under income tax deduction under section 80C of Indian Income Tax Act.</t>
    </r>
  </si>
  <si>
    <r>
      <t>3. ELSS Equity Linked Saving Schemes</t>
    </r>
    <r>
      <rPr>
        <sz val="10"/>
        <color indexed="63"/>
        <rFont val="Verdana"/>
        <family val="2"/>
      </rPr>
      <t>: Any investment made in certain Mutual Funds called equity linked saving schemes qualifies for section 80C deduction. Please note that not all mutual fund investments are eligible for this deduction. Some examples of ELSS funds are</t>
    </r>
  </si>
  <si>
    <t>: SBI Magnum Tax Gain, HDFC Tax Saver, HDFC Long term advantage, etc.</t>
  </si>
  <si>
    <r>
      <t>4. ULIP (Unit Linked Insurance Plan)</t>
    </r>
    <r>
      <rPr>
        <sz val="10"/>
        <color indexed="63"/>
        <rFont val="Verdana"/>
        <family val="2"/>
      </rPr>
      <t>: Investments made in certain ULIPs of Unit Trust of India and LIC of India are eligible for 80C deduction.</t>
    </r>
  </si>
  <si>
    <r>
      <t>5. Bank Fixed deposits or Term deposits of &gt;5 years</t>
    </r>
    <r>
      <rPr>
        <sz val="10"/>
        <color indexed="63"/>
        <rFont val="Verdana"/>
        <family val="2"/>
      </rPr>
      <t>: According to a relatively new provision amount saved in fixed deposits of term at least five years is eligible for income tax deduction under section 80C of Indian Income Tax Act.</t>
    </r>
  </si>
  <si>
    <r>
      <t>6. Principal part of EMI on Housing Loan</t>
    </r>
    <r>
      <rPr>
        <sz val="10"/>
        <color indexed="63"/>
        <rFont val="Verdana"/>
        <family val="2"/>
      </rPr>
      <t>: If you are paying EMI on a housing loan, note that the EMI (equated monthly installments) consists of two parts - principal part and interest part. The principal part of the EMI on your housing loan is eligible for income tax deduction under section 80C. Note that the interest part is also eligible for tax deduction, however not under section 80C but section 24. (read below). If you do not own a house but pay rent for it, see section 80GG of Indian Income Tax Act below.</t>
    </r>
  </si>
  <si>
    <r>
      <t>7. Tution Fees</t>
    </r>
    <r>
      <rPr>
        <sz val="10"/>
        <color indexed="63"/>
        <rFont val="Verdana"/>
        <family val="2"/>
      </rPr>
      <t>: Amount paid as tution fee for the education of two children of the assessee is eligible for deduction under section 80C of Indian Income Tax Act.</t>
    </r>
  </si>
  <si>
    <r>
      <t>8. Other 80C deductions</t>
    </r>
    <r>
      <rPr>
        <sz val="10"/>
        <color indexed="63"/>
        <rFont val="Verdana"/>
        <family val="2"/>
      </rPr>
      <t>: Amount saved in National Saving Certificate (NSC), Infrastructure Bonds or Infra Bonds, amount paid as stamp duty and registration charges while buying a new home are eligible for income tax deductions under section 80C of Indian Income Tax Act.</t>
    </r>
  </si>
  <si>
    <t>Indian Income Tax deduction - Section 80D: (official page Indian Income Tax Act)</t>
  </si>
  <si>
    <t>Section 80D of Indian Income Tax Act is especially useful if your employer does not cover your health or medical expenses. It is a good idea to get medical insurance or health insurance for you, your spouse, dependent children or dependent parents, as you can claim a deduction of upto Rs. 15000/- per anum for the premia paid on this insurance. For senior citizen this limit is Rs. 20000. With effect from 1-4-2009, you can claim the total of the following items for deduction under section 80D.</t>
  </si>
  <si>
    <t>1. Total amount of premium paid for health insurance of family (meaning spouse + children), or Rs. 15,000 , whichever less.</t>
  </si>
  <si>
    <t>2. Total amount of premium paid for health insurance of your parents or Rs. 15,000, whichever less.</t>
  </si>
  <si>
    <t>Thus if you are paying premiums of mediclaim policies for your spouse children and parents you can get a total tax deduction of upto Rs. 30,000.</t>
  </si>
  <si>
    <t>Indian Income Tax deduction - Section 80DD: (official page India Income Tax Act)</t>
  </si>
  <si>
    <t>Section 80DD of Indian Income Tax Act provides provision for tax deduction if you incurred medical expenditure for a dependents who are disabled. Here dependent means spouse, children, brothers, sisters or any one of them. The maximum tax deduction provided by section 80DD is Rs. 50000 in case of ordinary disability and Rs. 75000 if the disability is severe. The definition of severe disability is as defined in the official page of Indian Income tax Act.</t>
  </si>
  <si>
    <t>Indian Income Tax deduction - Section 24: (official page India Income Tax Act)</t>
  </si>
  <si>
    <t>Whenever you take a housing loan build or buy a new home, the interest payable on this home loan is eligible for income tax deduction under section 24. Maximum deductible amount, i.e. maximum interest you can claim for income tax deduction under section 24 is Rs. 1,50,000. In case you are paying interest on money borrowed for renovation of your home, even this may qualify for tax deduction under section 24 of Indian Income Tax Act. (see official page or ask in a comment).</t>
  </si>
  <si>
    <t>Indian Income Tax deduction - Section 80GG: (official page - India Income Tax Act)</t>
  </si>
  <si>
    <t>If you pay rent for the house that you are staying in and do not get HRA, any rent you pay in excess of 10 percent of your salary is eligible for income tax deduction under section 80GG of Indian Income Tax Act. The income tax deduction you can claim is the minimum of the following amounts.</t>
  </si>
  <si>
    <t>1. Rent you pay minus 10% of your salary.</t>
  </si>
  <si>
    <t>2. 25% of your gross total income.</t>
  </si>
  <si>
    <t>3. Rs. 2000/- per month.</t>
  </si>
  <si>
    <t>Indian Income Tax deduction - Section 80E: (official page India Income Tax Act)</t>
  </si>
  <si>
    <t>Under section 80E of Indian Income Tax Act, any amount of interest paid on educational loan taken for your higher education or higher education of your husband / wife or children is deductible from your taxable income. Here higher eduction means - studies for any graduate or post-graduate course in engineering, medicine, management or for post-graduate course in applied sciences or pure sciences including mathematics and statistics.</t>
  </si>
  <si>
    <t>Indian Income Tax deduction - Section 80G: (official page India Income Tax Act)</t>
  </si>
  <si>
    <t>Donations made to funds like Prime Minister's Relief Fund, National Children Foundation, any University or educational institution of 'national eminence', etc. (see official page for complete list) are deductible from your taxable income according to section 80G of Indian Income Tax Act. For any other donations you are eligible to take income tax deduction for 50% of the donation amount. See the offical page of Indian Income Tax Act.</t>
  </si>
  <si>
    <t>INT(A16/100000)</t>
  </si>
  <si>
    <t>INT(A16/1000-C16*100)</t>
  </si>
  <si>
    <t>INT(A16/100-C16*1000-D16*10)</t>
  </si>
  <si>
    <t>INT(A16-C16*100000-D16*1000-E16*100)</t>
  </si>
  <si>
    <t>IF(C16=0,"",LOOKUP(C16,$G$2:$DD$2,$G$3:$DD$3))</t>
  </si>
  <si>
    <t>IF(D16=0,"",LOOKUP(D16,$G$2:$DD$2,$G$3:$DD$3))</t>
  </si>
  <si>
    <t>IF(E16=0,"",LOOKUP(E16,$G$2:$R$2,$G$3:$R$3))</t>
  </si>
  <si>
    <t>IF(F16=0,"",LOOKUP(F16,$G$2:$DD$2,$G$3:$DD$3))</t>
  </si>
  <si>
    <t>IF(AND(E16=0,F16=0),1,2)</t>
  </si>
  <si>
    <t>IF(F16=0,3,4)</t>
  </si>
  <si>
    <t>IF(OR(K16=1,L16=3),5,6)</t>
  </si>
  <si>
    <t>IF(C16&gt;1," Lakhs ",IF(C16&gt;0," Lakh ",""))</t>
  </si>
  <si>
    <t>IF(D16&gt;0," Thousand ","")</t>
  </si>
  <si>
    <t>IF(E16&gt;0," Hundred ","")</t>
  </si>
  <si>
    <t>IF(A16=0,"Zero",IF(A16&gt;0,TRIM(CONCATENATE(G16,N16,H16,O16,I16,P16,IF(AND(A16&gt;100,M16=6)," and ",""),J16)),""))</t>
  </si>
  <si>
    <t>DETAILS OF SALARY RECEIVED BY THE EMPLOYEE</t>
  </si>
  <si>
    <t>BASIC PAY RECEIVED (ANNUALLY)</t>
  </si>
  <si>
    <t>data comes from IT annexure -I</t>
  </si>
  <si>
    <t>DA RECEIVED (ANNUALLY)</t>
  </si>
  <si>
    <t>HRA RECEIVED (ANNUALLY)</t>
  </si>
  <si>
    <t>HOUSE RENT PAID BY THE EMPLOYEE (ANNUALLY)</t>
  </si>
  <si>
    <t>DO YOU LIVE IN METRO CITY</t>
  </si>
  <si>
    <t>NO</t>
  </si>
  <si>
    <t xml:space="preserve">CALCULATION OF HOUSERENT </t>
  </si>
  <si>
    <t>HRA RECEIVED BY EMPLOYER</t>
  </si>
  <si>
    <t>Salary means Basic Pay+D.A</t>
  </si>
  <si>
    <t>EXCESS RENT PAID OVER 10% SALARY</t>
  </si>
  <si>
    <t>Actual House Rent paid - 10% of your Salary</t>
  </si>
  <si>
    <t xml:space="preserve">ELIGIBLE  HRA  EXEMPTION </t>
  </si>
  <si>
    <t xml:space="preserve">YES </t>
  </si>
  <si>
    <t>BP+DA</t>
  </si>
  <si>
    <t xml:space="preserve"> </t>
  </si>
  <si>
    <t>VISIT    www.stuapkurnool.blogspot.com</t>
  </si>
  <si>
    <t>G.NAGENDRA KUMAR</t>
  </si>
  <si>
    <t>MPUPS,</t>
  </si>
  <si>
    <t>NANDYAL</t>
  </si>
  <si>
    <t xml:space="preserve"> STU KURNOOL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</si>
</sst>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quot;Rs. &quot;#,##0"/>
    <numFmt numFmtId="167" formatCode="mmm\-yy;@"/>
    <numFmt numFmtId="168" formatCode="_(* #,##0_);_(* \(#,##0\);_(* \-_);_(@_)"/>
    <numFmt numFmtId="169" formatCode="d\-mmm\-yy;@"/>
    <numFmt numFmtId="170" formatCode="d\-mmm\-yyyy;@"/>
    <numFmt numFmtId="171" formatCode="dd\-mm\-yyyy"/>
    <numFmt numFmtId="172" formatCode="mm/dd/yy"/>
    <numFmt numFmtId="173" formatCode="0_ ;\-0\ "/>
    <numFmt numFmtId="174" formatCode="_-* #,##0_-;\-* #,##0_-;_-* \-_-;_-@_-"/>
    <numFmt numFmtId="175" formatCode="_(* #,##0.00_);_(* \(#,##0.00\);_(* \-??_);_(@_)"/>
    <numFmt numFmtId="176" formatCode="#,##0;[Red]#,##0"/>
  </numFmts>
  <fonts count="239">
    <font>
      <sz val="11"/>
      <color indexed="8"/>
      <name val="Calibri"/>
      <family val="2"/>
    </font>
    <font>
      <sz val="10"/>
      <name val="Arial"/>
      <family val="0"/>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0"/>
      <name val="Times New Roman"/>
      <family val="1"/>
    </font>
    <font>
      <b/>
      <sz val="12"/>
      <color indexed="63"/>
      <name val="Arial"/>
      <family val="2"/>
    </font>
    <font>
      <b/>
      <sz val="18"/>
      <color indexed="56"/>
      <name val="Cambria"/>
      <family val="2"/>
    </font>
    <font>
      <b/>
      <sz val="12"/>
      <color indexed="8"/>
      <name val="Arial"/>
      <family val="2"/>
    </font>
    <font>
      <sz val="12"/>
      <color indexed="10"/>
      <name val="Arial"/>
      <family val="2"/>
    </font>
    <font>
      <b/>
      <sz val="14"/>
      <color indexed="9"/>
      <name val="Arial"/>
      <family val="2"/>
    </font>
    <font>
      <sz val="11"/>
      <name val="Calibri"/>
      <family val="2"/>
    </font>
    <font>
      <b/>
      <sz val="11"/>
      <color indexed="10"/>
      <name val="Verdana"/>
      <family val="2"/>
    </font>
    <font>
      <b/>
      <sz val="11"/>
      <color indexed="12"/>
      <name val="Verdana"/>
      <family val="2"/>
    </font>
    <font>
      <b/>
      <sz val="10"/>
      <name val="Arial"/>
      <family val="2"/>
    </font>
    <font>
      <b/>
      <sz val="12"/>
      <color indexed="17"/>
      <name val="Arial"/>
      <family val="2"/>
    </font>
    <font>
      <b/>
      <sz val="12"/>
      <color indexed="10"/>
      <name val="Arial"/>
      <family val="2"/>
    </font>
    <font>
      <b/>
      <sz val="12"/>
      <color indexed="12"/>
      <name val="Arial"/>
      <family val="2"/>
    </font>
    <font>
      <b/>
      <sz val="12"/>
      <name val="Arial"/>
      <family val="2"/>
    </font>
    <font>
      <sz val="12"/>
      <color indexed="63"/>
      <name val="Arial"/>
      <family val="2"/>
    </font>
    <font>
      <sz val="11"/>
      <color indexed="63"/>
      <name val="Arial"/>
      <family val="2"/>
    </font>
    <font>
      <b/>
      <sz val="11"/>
      <color indexed="10"/>
      <name val="Arial"/>
      <family val="2"/>
    </font>
    <font>
      <sz val="11"/>
      <color indexed="10"/>
      <name val="Arial"/>
      <family val="2"/>
    </font>
    <font>
      <sz val="12"/>
      <color indexed="8"/>
      <name val="Times New Roman"/>
      <family val="1"/>
    </font>
    <font>
      <b/>
      <sz val="14"/>
      <color indexed="53"/>
      <name val="Times New Roman"/>
      <family val="1"/>
    </font>
    <font>
      <sz val="12"/>
      <color indexed="63"/>
      <name val="Times New Roman"/>
      <family val="1"/>
    </font>
    <font>
      <b/>
      <sz val="11"/>
      <color indexed="63"/>
      <name val="Arial"/>
      <family val="2"/>
    </font>
    <font>
      <sz val="12"/>
      <color indexed="53"/>
      <name val="Times New Roman"/>
      <family val="1"/>
    </font>
    <font>
      <b/>
      <sz val="12"/>
      <color indexed="63"/>
      <name val="Times New Roman"/>
      <family val="1"/>
    </font>
    <font>
      <sz val="12"/>
      <color indexed="49"/>
      <name val="Times New Roman"/>
      <family val="1"/>
    </font>
    <font>
      <b/>
      <sz val="12"/>
      <color indexed="10"/>
      <name val="Times New Roman"/>
      <family val="1"/>
    </font>
    <font>
      <b/>
      <sz val="12"/>
      <color indexed="8"/>
      <name val="Times New Roman"/>
      <family val="1"/>
    </font>
    <font>
      <sz val="14"/>
      <color indexed="8"/>
      <name val="Times New Roman"/>
      <family val="1"/>
    </font>
    <font>
      <b/>
      <sz val="12"/>
      <color indexed="53"/>
      <name val="Times New Roman"/>
      <family val="1"/>
    </font>
    <font>
      <sz val="12"/>
      <color indexed="12"/>
      <name val="Times New Roman"/>
      <family val="1"/>
    </font>
    <font>
      <sz val="12"/>
      <color indexed="10"/>
      <name val="Times New Roman"/>
      <family val="1"/>
    </font>
    <font>
      <sz val="14"/>
      <color indexed="53"/>
      <name val="Times New Roman"/>
      <family val="1"/>
    </font>
    <font>
      <b/>
      <sz val="11"/>
      <color indexed="8"/>
      <name val="Verdana"/>
      <family val="2"/>
    </font>
    <font>
      <u val="single"/>
      <sz val="10"/>
      <color indexed="12"/>
      <name val="Arial"/>
      <family val="2"/>
    </font>
    <font>
      <sz val="8"/>
      <color indexed="8"/>
      <name val="Verdana"/>
      <family val="2"/>
    </font>
    <font>
      <sz val="11"/>
      <color indexed="8"/>
      <name val="Verdana"/>
      <family val="2"/>
    </font>
    <font>
      <sz val="14"/>
      <color indexed="8"/>
      <name val="Verdana"/>
      <family val="2"/>
    </font>
    <font>
      <u val="single"/>
      <sz val="11"/>
      <color indexed="8"/>
      <name val="Verdana"/>
      <family val="2"/>
    </font>
    <font>
      <sz val="18"/>
      <color indexed="8"/>
      <name val="Calibri"/>
      <family val="2"/>
    </font>
    <font>
      <sz val="16"/>
      <color indexed="8"/>
      <name val="Calibri"/>
      <family val="2"/>
    </font>
    <font>
      <sz val="14"/>
      <color indexed="8"/>
      <name val="Calibri"/>
      <family val="2"/>
    </font>
    <font>
      <sz val="12"/>
      <color indexed="8"/>
      <name val="Calibri"/>
      <family val="2"/>
    </font>
    <font>
      <sz val="11"/>
      <color indexed="8"/>
      <name val="Arial Black"/>
      <family val="2"/>
    </font>
    <font>
      <sz val="10"/>
      <color indexed="8"/>
      <name val="Verdana"/>
      <family val="2"/>
    </font>
    <font>
      <b/>
      <sz val="18"/>
      <color indexed="8"/>
      <name val="Bookman Old Style"/>
      <family val="1"/>
    </font>
    <font>
      <sz val="12"/>
      <name val="Book Antiqua"/>
      <family val="1"/>
    </font>
    <font>
      <sz val="12"/>
      <color indexed="8"/>
      <name val="Book Antiqua"/>
      <family val="1"/>
    </font>
    <font>
      <sz val="11"/>
      <color indexed="8"/>
      <name val="Bodoni MT Black"/>
      <family val="1"/>
    </font>
    <font>
      <sz val="20"/>
      <color indexed="8"/>
      <name val="Calibri"/>
      <family val="2"/>
    </font>
    <font>
      <b/>
      <sz val="14"/>
      <color indexed="10"/>
      <name val="Cambria"/>
      <family val="1"/>
    </font>
    <font>
      <b/>
      <sz val="20"/>
      <color indexed="8"/>
      <name val="Verdana"/>
      <family val="2"/>
    </font>
    <font>
      <b/>
      <u val="single"/>
      <sz val="16"/>
      <color indexed="9"/>
      <name val="Arial"/>
      <family val="2"/>
    </font>
    <font>
      <sz val="12"/>
      <color indexed="9"/>
      <name val="Calibri"/>
      <family val="2"/>
    </font>
    <font>
      <b/>
      <sz val="16"/>
      <color indexed="9"/>
      <name val="Arial"/>
      <family val="2"/>
    </font>
    <font>
      <b/>
      <sz val="16"/>
      <color indexed="10"/>
      <name val="Calibri"/>
      <family val="2"/>
    </font>
    <font>
      <sz val="13"/>
      <color indexed="9"/>
      <name val="Arial Black"/>
      <family val="2"/>
    </font>
    <font>
      <sz val="11"/>
      <color indexed="9"/>
      <name val="Calibri"/>
      <family val="2"/>
    </font>
    <font>
      <b/>
      <sz val="11"/>
      <name val="Arial"/>
      <family val="2"/>
    </font>
    <font>
      <sz val="11"/>
      <color indexed="17"/>
      <name val="Calibri"/>
      <family val="2"/>
    </font>
    <font>
      <sz val="10"/>
      <color indexed="8"/>
      <name val="Calibri"/>
      <family val="2"/>
    </font>
    <font>
      <b/>
      <sz val="14"/>
      <color indexed="8"/>
      <name val="Arial"/>
      <family val="2"/>
    </font>
    <font>
      <sz val="12"/>
      <name val="Calibri"/>
      <family val="2"/>
    </font>
    <font>
      <sz val="11"/>
      <color indexed="48"/>
      <name val="Calibri"/>
      <family val="2"/>
    </font>
    <font>
      <b/>
      <sz val="14"/>
      <color indexed="8"/>
      <name val="Cambria"/>
      <family val="1"/>
    </font>
    <font>
      <b/>
      <sz val="12"/>
      <color indexed="9"/>
      <name val="Verdana"/>
      <family val="2"/>
    </font>
    <font>
      <sz val="12"/>
      <color indexed="8"/>
      <name val="Verdana"/>
      <family val="2"/>
    </font>
    <font>
      <sz val="11"/>
      <color indexed="53"/>
      <name val="Calibri"/>
      <family val="2"/>
    </font>
    <font>
      <b/>
      <sz val="11"/>
      <color indexed="8"/>
      <name val="Arial"/>
      <family val="2"/>
    </font>
    <font>
      <sz val="8"/>
      <color indexed="8"/>
      <name val="Book Antiqua"/>
      <family val="1"/>
    </font>
    <font>
      <sz val="12"/>
      <color indexed="8"/>
      <name val="Bell MT"/>
      <family val="1"/>
    </font>
    <font>
      <sz val="10"/>
      <color indexed="8"/>
      <name val="Arial"/>
      <family val="2"/>
    </font>
    <font>
      <b/>
      <sz val="12"/>
      <color indexed="8"/>
      <name val="Verdana"/>
      <family val="2"/>
    </font>
    <font>
      <b/>
      <sz val="14"/>
      <color indexed="9"/>
      <name val="Verdana"/>
      <family val="2"/>
    </font>
    <font>
      <b/>
      <sz val="8"/>
      <name val="Arial"/>
      <family val="2"/>
    </font>
    <font>
      <b/>
      <sz val="10"/>
      <color indexed="10"/>
      <name val="Arial"/>
      <family val="2"/>
    </font>
    <font>
      <b/>
      <sz val="12"/>
      <color indexed="9"/>
      <name val="Cambria"/>
      <family val="1"/>
    </font>
    <font>
      <sz val="8"/>
      <name val="Verdana"/>
      <family val="2"/>
    </font>
    <font>
      <b/>
      <sz val="18"/>
      <color indexed="9"/>
      <name val="Cambria"/>
      <family val="1"/>
    </font>
    <font>
      <b/>
      <sz val="14"/>
      <color indexed="9"/>
      <name val="Cambria"/>
      <family val="1"/>
    </font>
    <font>
      <sz val="11"/>
      <color indexed="8"/>
      <name val="Arial"/>
      <family val="2"/>
    </font>
    <font>
      <b/>
      <sz val="14"/>
      <name val="Arial"/>
      <family val="2"/>
    </font>
    <font>
      <sz val="14"/>
      <color indexed="18"/>
      <name val="Calibri"/>
      <family val="2"/>
    </font>
    <font>
      <b/>
      <sz val="10"/>
      <color indexed="8"/>
      <name val="Verdana"/>
      <family val="2"/>
    </font>
    <font>
      <b/>
      <sz val="12"/>
      <name val="Verdana"/>
      <family val="2"/>
    </font>
    <font>
      <b/>
      <sz val="16"/>
      <color indexed="45"/>
      <name val="Cambria"/>
      <family val="1"/>
    </font>
    <font>
      <sz val="10"/>
      <name val="Calibri"/>
      <family val="2"/>
    </font>
    <font>
      <sz val="8"/>
      <name val="Tw Cen MT"/>
      <family val="2"/>
    </font>
    <font>
      <b/>
      <sz val="10"/>
      <name val="Cambria"/>
      <family val="1"/>
    </font>
    <font>
      <u val="single"/>
      <sz val="26"/>
      <color indexed="9"/>
      <name val="Arial"/>
      <family val="2"/>
    </font>
    <font>
      <b/>
      <sz val="14"/>
      <color indexed="8"/>
      <name val="Calibri"/>
      <family val="2"/>
    </font>
    <font>
      <b/>
      <sz val="14"/>
      <color indexed="9"/>
      <name val="Book Antiqua"/>
      <family val="1"/>
    </font>
    <font>
      <b/>
      <sz val="11"/>
      <name val="Calibri"/>
      <family val="2"/>
    </font>
    <font>
      <sz val="9"/>
      <color indexed="8"/>
      <name val="Calibri"/>
      <family val="2"/>
    </font>
    <font>
      <b/>
      <sz val="14"/>
      <color indexed="60"/>
      <name val="Arial"/>
      <family val="2"/>
    </font>
    <font>
      <b/>
      <sz val="9"/>
      <name val="Arial"/>
      <family val="2"/>
    </font>
    <font>
      <sz val="10"/>
      <name val="Verdana"/>
      <family val="2"/>
    </font>
    <font>
      <sz val="12"/>
      <name val="Arial"/>
      <family val="2"/>
    </font>
    <font>
      <b/>
      <sz val="14"/>
      <color indexed="60"/>
      <name val="Cambria"/>
      <family val="1"/>
    </font>
    <font>
      <b/>
      <sz val="11"/>
      <color indexed="9"/>
      <name val="Consolas"/>
      <family val="3"/>
    </font>
    <font>
      <b/>
      <sz val="14"/>
      <color indexed="16"/>
      <name val="Arial"/>
      <family val="2"/>
    </font>
    <font>
      <sz val="11"/>
      <color indexed="55"/>
      <name val="Calibri"/>
      <family val="2"/>
    </font>
    <font>
      <b/>
      <sz val="16"/>
      <color indexed="9"/>
      <name val="Cambria"/>
      <family val="1"/>
    </font>
    <font>
      <b/>
      <sz val="12"/>
      <color indexed="16"/>
      <name val="Arial"/>
      <family val="2"/>
    </font>
    <font>
      <sz val="11"/>
      <color indexed="8"/>
      <name val="Bookman Old Style"/>
      <family val="1"/>
    </font>
    <font>
      <b/>
      <sz val="11"/>
      <color indexed="10"/>
      <name val="Tw Cen MT"/>
      <family val="2"/>
    </font>
    <font>
      <b/>
      <sz val="16"/>
      <color indexed="8"/>
      <name val="Times New Roman"/>
      <family val="1"/>
    </font>
    <font>
      <sz val="10"/>
      <color indexed="10"/>
      <name val="Book Antiqua"/>
      <family val="1"/>
    </font>
    <font>
      <b/>
      <sz val="11"/>
      <color indexed="10"/>
      <name val="Tw Cen MT Condensed"/>
      <family val="2"/>
    </font>
    <font>
      <sz val="11"/>
      <color indexed="10"/>
      <name val="Calibri"/>
      <family val="2"/>
    </font>
    <font>
      <b/>
      <sz val="11"/>
      <name val="Verdana"/>
      <family val="2"/>
    </font>
    <font>
      <b/>
      <sz val="10"/>
      <name val="Verdana"/>
      <family val="2"/>
    </font>
    <font>
      <b/>
      <sz val="14"/>
      <name val="Bookman Old Style"/>
      <family val="1"/>
    </font>
    <font>
      <sz val="16"/>
      <name val="Century Schoolbook"/>
      <family val="1"/>
    </font>
    <font>
      <sz val="11"/>
      <name val="Bodoni MT Condensed"/>
      <family val="1"/>
    </font>
    <font>
      <b/>
      <sz val="10"/>
      <name val="Tahoma"/>
      <family val="2"/>
    </font>
    <font>
      <sz val="10"/>
      <color indexed="9"/>
      <name val="Calibri"/>
      <family val="2"/>
    </font>
    <font>
      <b/>
      <sz val="11"/>
      <name val="Book Antiqua"/>
      <family val="1"/>
    </font>
    <font>
      <b/>
      <sz val="10"/>
      <color indexed="60"/>
      <name val="Arial"/>
      <family val="2"/>
    </font>
    <font>
      <sz val="9"/>
      <color indexed="63"/>
      <name val="Arial"/>
      <family val="2"/>
    </font>
    <font>
      <b/>
      <sz val="10"/>
      <color indexed="20"/>
      <name val="Arial"/>
      <family val="2"/>
    </font>
    <font>
      <sz val="9"/>
      <name val="Book Antiqua"/>
      <family val="1"/>
    </font>
    <font>
      <sz val="10"/>
      <name val="Book Antiqua"/>
      <family val="1"/>
    </font>
    <font>
      <sz val="8"/>
      <name val="Book Antiqua"/>
      <family val="1"/>
    </font>
    <font>
      <sz val="8"/>
      <name val="Arial"/>
      <family val="2"/>
    </font>
    <font>
      <b/>
      <sz val="9"/>
      <name val="Book Antiqua"/>
      <family val="1"/>
    </font>
    <font>
      <b/>
      <sz val="12"/>
      <color indexed="20"/>
      <name val="Arial"/>
      <family val="2"/>
    </font>
    <font>
      <b/>
      <sz val="10"/>
      <name val="Book Antiqua"/>
      <family val="1"/>
    </font>
    <font>
      <sz val="11"/>
      <name val="Arial"/>
      <family val="2"/>
    </font>
    <font>
      <sz val="10"/>
      <name val="Cooper Black"/>
      <family val="1"/>
    </font>
    <font>
      <b/>
      <sz val="9"/>
      <name val="Calibri"/>
      <family val="2"/>
    </font>
    <font>
      <b/>
      <sz val="8"/>
      <name val="Calibri"/>
      <family val="2"/>
    </font>
    <font>
      <b/>
      <sz val="16"/>
      <color indexed="8"/>
      <name val="Calibri"/>
      <family val="2"/>
    </font>
    <font>
      <sz val="8"/>
      <color indexed="8"/>
      <name val="Calibri"/>
      <family val="2"/>
    </font>
    <font>
      <sz val="9"/>
      <name val="Arial"/>
      <family val="2"/>
    </font>
    <font>
      <sz val="9"/>
      <name val="Calibri"/>
      <family val="2"/>
    </font>
    <font>
      <sz val="10"/>
      <color indexed="8"/>
      <name val="Book Antiqua"/>
      <family val="1"/>
    </font>
    <font>
      <b/>
      <sz val="11"/>
      <color indexed="8"/>
      <name val="Century Gothic"/>
      <family val="2"/>
    </font>
    <font>
      <sz val="9"/>
      <color indexed="8"/>
      <name val="Book Antiqua"/>
      <family val="1"/>
    </font>
    <font>
      <sz val="14"/>
      <color indexed="8"/>
      <name val="Book Antiqua"/>
      <family val="1"/>
    </font>
    <font>
      <b/>
      <sz val="8"/>
      <color indexed="8"/>
      <name val="Tw Cen MT Condensed"/>
      <family val="2"/>
    </font>
    <font>
      <b/>
      <sz val="10"/>
      <color indexed="8"/>
      <name val="Calibri"/>
      <family val="2"/>
    </font>
    <font>
      <sz val="9"/>
      <color indexed="8"/>
      <name val="Tw Cen MT Condensed"/>
      <family val="2"/>
    </font>
    <font>
      <sz val="10"/>
      <color indexed="9"/>
      <name val="Book Antiqua"/>
      <family val="1"/>
    </font>
    <font>
      <b/>
      <u val="single"/>
      <sz val="16"/>
      <color indexed="8"/>
      <name val="Arial"/>
      <family val="2"/>
    </font>
    <font>
      <b/>
      <sz val="12"/>
      <color indexed="8"/>
      <name val="Calibri"/>
      <family val="2"/>
    </font>
    <font>
      <b/>
      <sz val="14"/>
      <name val="Book Antiqua"/>
      <family val="1"/>
    </font>
    <font>
      <sz val="11"/>
      <name val="Book Antiqua"/>
      <family val="1"/>
    </font>
    <font>
      <b/>
      <sz val="10"/>
      <name val="Calibri"/>
      <family val="2"/>
    </font>
    <font>
      <sz val="10"/>
      <name val="Tahoma"/>
      <family val="2"/>
    </font>
    <font>
      <b/>
      <sz val="12"/>
      <name val="Book Antiqua"/>
      <family val="1"/>
    </font>
    <font>
      <b/>
      <u val="single"/>
      <sz val="8"/>
      <name val="Comic Sans MS"/>
      <family val="4"/>
    </font>
    <font>
      <sz val="8"/>
      <name val="Comic Sans MS"/>
      <family val="4"/>
    </font>
    <font>
      <sz val="8"/>
      <color indexed="12"/>
      <name val="Book Antiqua"/>
      <family val="1"/>
    </font>
    <font>
      <sz val="14"/>
      <name val="Book Antiqua"/>
      <family val="1"/>
    </font>
    <font>
      <sz val="16"/>
      <name val="Book Antiqua"/>
      <family val="1"/>
    </font>
    <font>
      <sz val="8"/>
      <name val="Cambria"/>
      <family val="1"/>
    </font>
    <font>
      <sz val="9"/>
      <color indexed="12"/>
      <name val="Book Antiqua"/>
      <family val="1"/>
    </font>
    <font>
      <b/>
      <sz val="13"/>
      <name val="Book Antiqua"/>
      <family val="1"/>
    </font>
    <font>
      <b/>
      <u val="single"/>
      <sz val="11"/>
      <name val="Arial"/>
      <family val="2"/>
    </font>
    <font>
      <b/>
      <sz val="14"/>
      <name val="Times New Roman"/>
      <family val="1"/>
    </font>
    <font>
      <sz val="12"/>
      <name val="Times New Roman"/>
      <family val="1"/>
    </font>
    <font>
      <sz val="11"/>
      <name val="Verdana"/>
      <family val="2"/>
    </font>
    <font>
      <sz val="12"/>
      <name val="Verdana"/>
      <family val="2"/>
    </font>
    <font>
      <b/>
      <sz val="12"/>
      <color indexed="10"/>
      <name val="Verdana"/>
      <family val="2"/>
    </font>
    <font>
      <sz val="12"/>
      <color indexed="8"/>
      <name val="Cambria"/>
      <family val="1"/>
    </font>
    <font>
      <b/>
      <i/>
      <u val="single"/>
      <sz val="11"/>
      <name val="Arial"/>
      <family val="2"/>
    </font>
    <font>
      <sz val="12.5"/>
      <color indexed="8"/>
      <name val="TTE2524ED0t00"/>
      <family val="0"/>
    </font>
    <font>
      <sz val="10.5"/>
      <color indexed="8"/>
      <name val="TTE2524ED0t00"/>
      <family val="0"/>
    </font>
    <font>
      <b/>
      <sz val="12.5"/>
      <color indexed="8"/>
      <name val="TTE2524ED0t00"/>
      <family val="0"/>
    </font>
    <font>
      <sz val="8.5"/>
      <color indexed="8"/>
      <name val="TTE2524ED0t00"/>
      <family val="0"/>
    </font>
    <font>
      <b/>
      <u val="single"/>
      <sz val="10.5"/>
      <color indexed="8"/>
      <name val="TTE2524ED0t00"/>
      <family val="0"/>
    </font>
    <font>
      <b/>
      <sz val="10"/>
      <color indexed="63"/>
      <name val="Verdana"/>
      <family val="2"/>
    </font>
    <font>
      <sz val="10"/>
      <color indexed="63"/>
      <name val="Verdana"/>
      <family val="2"/>
    </font>
    <font>
      <i/>
      <sz val="8"/>
      <color indexed="8"/>
      <name val="Verdana"/>
      <family val="2"/>
    </font>
    <font>
      <b/>
      <u val="single"/>
      <sz val="10"/>
      <color indexed="12"/>
      <name val="Verdana"/>
      <family val="2"/>
    </font>
    <font>
      <u val="single"/>
      <sz val="8"/>
      <color indexed="12"/>
      <name val="Verdana"/>
      <family val="2"/>
    </font>
    <font>
      <sz val="8"/>
      <color indexed="63"/>
      <name val="Verdana"/>
      <family val="2"/>
    </font>
    <font>
      <sz val="16"/>
      <color indexed="8"/>
      <name val="comic"/>
      <family val="5"/>
    </font>
    <font>
      <sz val="16"/>
      <color indexed="10"/>
      <name val="comic"/>
      <family val="5"/>
    </font>
    <font>
      <sz val="14"/>
      <color indexed="8"/>
      <name val="Arial"/>
      <family val="2"/>
    </font>
    <font>
      <b/>
      <sz val="12"/>
      <color indexed="10"/>
      <name val="Calibri"/>
      <family val="2"/>
    </font>
    <font>
      <b/>
      <sz val="16"/>
      <color indexed="8"/>
      <name val="Bookman Old Style"/>
      <family val="1"/>
    </font>
    <font>
      <b/>
      <sz val="12"/>
      <color indexed="8"/>
      <name val="Cambria"/>
      <family val="1"/>
    </font>
    <font>
      <sz val="11"/>
      <color indexed="10"/>
      <name val="Arial Black"/>
      <family val="2"/>
    </font>
    <font>
      <b/>
      <sz val="16"/>
      <color indexed="27"/>
      <name val="Cambria"/>
      <family val="1"/>
    </font>
    <font>
      <b/>
      <sz val="16"/>
      <color indexed="27"/>
      <name val="Calibri"/>
      <family val="2"/>
    </font>
    <font>
      <sz val="8"/>
      <name val="Tahoma"/>
      <family val="0"/>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u val="single"/>
      <sz val="9.7"/>
      <color indexed="20"/>
      <name val="Calibri"/>
      <family val="2"/>
    </font>
    <font>
      <sz val="12"/>
      <color indexed="10"/>
      <name val="Bodoni MT Black"/>
      <family val="0"/>
    </font>
    <font>
      <b/>
      <sz val="15"/>
      <color indexed="10"/>
      <name val="Calibri"/>
      <family val="0"/>
    </font>
    <font>
      <sz val="10"/>
      <color indexed="8"/>
      <name val="Cambria"/>
      <family val="0"/>
    </font>
    <font>
      <sz val="14"/>
      <color indexed="8"/>
      <name val="Cambria"/>
      <family val="0"/>
    </font>
    <font>
      <sz val="11"/>
      <color indexed="8"/>
      <name val="Cambri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7"/>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70">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50"/>
        <bgColor indexed="64"/>
      </patternFill>
    </fill>
    <fill>
      <patternFill patternType="solid">
        <fgColor indexed="19"/>
        <bgColor indexed="64"/>
      </patternFill>
    </fill>
    <fill>
      <patternFill patternType="solid">
        <fgColor indexed="13"/>
        <bgColor indexed="64"/>
      </patternFill>
    </fill>
    <fill>
      <patternFill patternType="solid">
        <fgColor indexed="54"/>
        <bgColor indexed="64"/>
      </patternFill>
    </fill>
    <fill>
      <patternFill patternType="solid">
        <fgColor indexed="18"/>
        <bgColor indexed="64"/>
      </patternFill>
    </fill>
    <fill>
      <patternFill patternType="solid">
        <fgColor indexed="17"/>
        <bgColor indexed="64"/>
      </patternFill>
    </fill>
    <fill>
      <patternFill patternType="solid">
        <fgColor indexed="59"/>
        <bgColor indexed="64"/>
      </patternFill>
    </fill>
    <fill>
      <patternFill patternType="solid">
        <fgColor indexed="15"/>
        <bgColor indexed="64"/>
      </patternFill>
    </fill>
    <fill>
      <patternFill patternType="solid">
        <fgColor indexed="34"/>
        <bgColor indexed="64"/>
      </patternFill>
    </fill>
    <fill>
      <patternFill patternType="solid">
        <fgColor indexed="28"/>
        <bgColor indexed="64"/>
      </patternFill>
    </fill>
    <fill>
      <patternFill patternType="solid">
        <fgColor indexed="8"/>
        <bgColor indexed="64"/>
      </patternFill>
    </fill>
    <fill>
      <patternFill patternType="solid">
        <fgColor indexed="56"/>
        <bgColor indexed="64"/>
      </patternFill>
    </fill>
    <fill>
      <patternFill patternType="solid">
        <fgColor indexed="41"/>
        <bgColor indexed="64"/>
      </patternFill>
    </fill>
    <fill>
      <patternFill patternType="solid">
        <fgColor indexed="25"/>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60"/>
      </left>
      <right style="thin">
        <color indexed="60"/>
      </right>
      <top style="thin">
        <color indexed="60"/>
      </top>
      <bottom style="thin">
        <color indexed="60"/>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hair">
        <color indexed="8"/>
      </right>
      <top style="thin">
        <color indexed="15"/>
      </top>
      <bottom style="hair">
        <color indexed="8"/>
      </bottom>
    </border>
    <border>
      <left style="hair">
        <color indexed="8"/>
      </left>
      <right style="hair">
        <color indexed="8"/>
      </right>
      <top style="thin">
        <color indexed="15"/>
      </top>
      <bottom style="hair">
        <color indexed="8"/>
      </bottom>
    </border>
    <border>
      <left style="thin">
        <color indexed="21"/>
      </left>
      <right style="thin">
        <color indexed="21"/>
      </right>
      <top style="thin">
        <color indexed="21"/>
      </top>
      <bottom style="thin">
        <color indexed="21"/>
      </bottom>
    </border>
    <border>
      <left>
        <color indexed="63"/>
      </left>
      <right>
        <color indexed="63"/>
      </right>
      <top>
        <color indexed="63"/>
      </top>
      <bottom style="hair">
        <color indexed="8"/>
      </bottom>
    </border>
    <border>
      <left style="thin">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color indexed="8"/>
      </left>
      <right style="hair">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21"/>
      </right>
      <top>
        <color indexed="63"/>
      </top>
      <bottom>
        <color indexed="63"/>
      </bottom>
    </border>
    <border>
      <left style="hair">
        <color indexed="8"/>
      </left>
      <right>
        <color indexed="63"/>
      </right>
      <top>
        <color indexed="63"/>
      </top>
      <bottom>
        <color indexed="63"/>
      </bottom>
    </border>
    <border>
      <left>
        <color indexed="63"/>
      </left>
      <right style="hair">
        <color indexed="8"/>
      </right>
      <top>
        <color indexed="63"/>
      </top>
      <bottom style="medium">
        <color indexed="8"/>
      </bottom>
    </border>
    <border>
      <left style="thin">
        <color indexed="8"/>
      </left>
      <right style="hair">
        <color indexed="8"/>
      </right>
      <top style="hair">
        <color indexed="8"/>
      </top>
      <bottom>
        <color indexed="63"/>
      </bottom>
    </border>
    <border>
      <left>
        <color indexed="63"/>
      </left>
      <right>
        <color indexed="63"/>
      </right>
      <top>
        <color indexed="63"/>
      </top>
      <bottom style="thin">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thin">
        <color indexed="21"/>
      </left>
      <right style="thin">
        <color indexed="21"/>
      </right>
      <top style="thin">
        <color indexed="21"/>
      </top>
      <bottom>
        <color indexed="63"/>
      </bottom>
    </border>
    <border>
      <left style="hair">
        <color indexed="8"/>
      </left>
      <right>
        <color indexed="63"/>
      </right>
      <top style="hair">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hair">
        <color indexed="8"/>
      </left>
      <right>
        <color indexed="63"/>
      </right>
      <top>
        <color indexed="63"/>
      </top>
      <bottom style="hair">
        <color indexed="8"/>
      </bottom>
    </border>
    <border>
      <left style="hair">
        <color indexed="8"/>
      </left>
      <right style="medium">
        <color indexed="8"/>
      </right>
      <top>
        <color indexed="63"/>
      </top>
      <bottom style="hair">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hair">
        <color indexed="8"/>
      </left>
      <right>
        <color indexed="63"/>
      </right>
      <top style="hair">
        <color indexed="8"/>
      </top>
      <bottom style="medium">
        <color indexed="8"/>
      </bottom>
    </border>
    <border>
      <left style="hair">
        <color indexed="8"/>
      </left>
      <right style="medium">
        <color indexed="8"/>
      </right>
      <top style="hair">
        <color indexed="8"/>
      </top>
      <bottom style="medium">
        <color indexed="8"/>
      </bottom>
    </border>
    <border>
      <left style="hair">
        <color indexed="8"/>
      </left>
      <right>
        <color indexed="63"/>
      </right>
      <top style="thin">
        <color indexed="8"/>
      </top>
      <bottom style="thin">
        <color indexed="10"/>
      </bottom>
    </border>
    <border>
      <left style="hair">
        <color indexed="8"/>
      </left>
      <right>
        <color indexed="63"/>
      </right>
      <top style="thin">
        <color indexed="10"/>
      </top>
      <bottom style="thin">
        <color indexed="8"/>
      </bottom>
    </border>
    <border>
      <left>
        <color indexed="63"/>
      </left>
      <right style="thin">
        <color indexed="8"/>
      </right>
      <top>
        <color indexed="63"/>
      </top>
      <bottom style="thin">
        <color indexed="8"/>
      </bottom>
    </border>
    <border>
      <left>
        <color indexed="63"/>
      </left>
      <right style="double">
        <color indexed="8"/>
      </right>
      <top style="double">
        <color indexed="8"/>
      </top>
      <bottom>
        <color indexed="63"/>
      </bottom>
    </border>
    <border>
      <left>
        <color indexed="63"/>
      </left>
      <right style="double">
        <color indexed="8"/>
      </right>
      <top>
        <color indexed="63"/>
      </top>
      <bottom style="thin">
        <color indexed="8"/>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thin">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thin">
        <color indexed="8"/>
      </right>
      <top style="hair">
        <color indexed="8"/>
      </top>
      <bottom>
        <color indexed="63"/>
      </bottom>
    </border>
    <border>
      <left>
        <color indexed="63"/>
      </left>
      <right style="double">
        <color indexed="8"/>
      </right>
      <top>
        <color indexed="63"/>
      </top>
      <bottom>
        <color indexed="63"/>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style="double">
        <color indexed="8"/>
      </right>
      <top>
        <color indexed="63"/>
      </top>
      <bottom style="thin">
        <color indexed="8"/>
      </bottom>
    </border>
    <border>
      <left style="thin">
        <color indexed="8"/>
      </left>
      <right style="double">
        <color indexed="8"/>
      </right>
      <top>
        <color indexed="63"/>
      </top>
      <bottom>
        <color indexed="63"/>
      </bottom>
    </border>
    <border>
      <left style="thin">
        <color indexed="8"/>
      </left>
      <right>
        <color indexed="63"/>
      </right>
      <top>
        <color indexed="63"/>
      </top>
      <bottom style="hair">
        <color indexed="8"/>
      </bottom>
    </border>
    <border>
      <left>
        <color indexed="63"/>
      </left>
      <right style="thin">
        <color indexed="8"/>
      </right>
      <top>
        <color indexed="63"/>
      </top>
      <bottom style="hair">
        <color indexed="8"/>
      </bottom>
    </border>
    <border>
      <left>
        <color indexed="63"/>
      </left>
      <right style="double">
        <color indexed="8"/>
      </right>
      <top>
        <color indexed="63"/>
      </top>
      <bottom style="hair">
        <color indexed="8"/>
      </bottom>
    </border>
    <border>
      <left>
        <color indexed="63"/>
      </left>
      <right style="double">
        <color indexed="8"/>
      </right>
      <top style="hair">
        <color indexed="8"/>
      </top>
      <bottom style="hair">
        <color indexed="8"/>
      </bottom>
    </border>
    <border>
      <left style="double">
        <color indexed="8"/>
      </left>
      <right>
        <color indexed="63"/>
      </right>
      <top>
        <color indexed="63"/>
      </top>
      <bottom style="double">
        <color indexed="8"/>
      </bottom>
    </border>
    <border>
      <left>
        <color indexed="63"/>
      </left>
      <right>
        <color indexed="63"/>
      </right>
      <top>
        <color indexed="63"/>
      </top>
      <bottom style="double">
        <color indexed="8"/>
      </bottom>
    </border>
    <border>
      <left>
        <color indexed="63"/>
      </left>
      <right style="double">
        <color indexed="8"/>
      </right>
      <top>
        <color indexed="63"/>
      </top>
      <bottom style="double">
        <color indexed="8"/>
      </bottom>
    </border>
    <border>
      <left>
        <color indexed="63"/>
      </left>
      <right>
        <color indexed="63"/>
      </right>
      <top style="double">
        <color indexed="8"/>
      </top>
      <bottom>
        <color indexed="63"/>
      </bottom>
    </border>
    <border>
      <left style="thin">
        <color indexed="8"/>
      </left>
      <right>
        <color indexed="63"/>
      </right>
      <top style="hair">
        <color indexed="8"/>
      </top>
      <bottom style="thin">
        <color indexed="8"/>
      </bottom>
    </border>
    <border>
      <left>
        <color indexed="63"/>
      </left>
      <right style="thin">
        <color indexed="8"/>
      </right>
      <top style="hair">
        <color indexed="8"/>
      </top>
      <bottom style="thin">
        <color indexed="8"/>
      </bottom>
    </border>
    <border>
      <left style="thin">
        <color indexed="8"/>
      </left>
      <right>
        <color indexed="63"/>
      </right>
      <top style="thin">
        <color indexed="8"/>
      </top>
      <bottom style="hair">
        <color indexed="8"/>
      </bottom>
    </border>
    <border>
      <left>
        <color indexed="63"/>
      </left>
      <right style="double">
        <color indexed="8"/>
      </right>
      <top style="thin">
        <color indexed="8"/>
      </top>
      <bottom style="hair">
        <color indexed="8"/>
      </bottom>
    </border>
    <border>
      <left>
        <color indexed="63"/>
      </left>
      <right style="double">
        <color indexed="8"/>
      </right>
      <top style="hair">
        <color indexed="8"/>
      </top>
      <bottom style="thin">
        <color indexed="8"/>
      </bottom>
    </border>
    <border>
      <left>
        <color indexed="63"/>
      </left>
      <right style="double">
        <color indexed="8"/>
      </right>
      <top style="thin">
        <color indexed="8"/>
      </top>
      <bottom>
        <color indexed="63"/>
      </bottom>
    </border>
    <border>
      <left style="double">
        <color indexed="8"/>
      </left>
      <right>
        <color indexed="63"/>
      </right>
      <top>
        <color indexed="63"/>
      </top>
      <bottom style="thin">
        <color indexed="8"/>
      </bottom>
    </border>
    <border>
      <left style="double">
        <color indexed="8"/>
      </left>
      <right style="thin">
        <color indexed="8"/>
      </right>
      <top style="double">
        <color indexed="8"/>
      </top>
      <bottom>
        <color indexed="63"/>
      </bottom>
    </border>
    <border>
      <left style="hair">
        <color indexed="8"/>
      </left>
      <right style="hair">
        <color indexed="8"/>
      </right>
      <top style="double">
        <color indexed="8"/>
      </top>
      <bottom>
        <color indexed="63"/>
      </bottom>
    </border>
    <border>
      <left style="double">
        <color indexed="8"/>
      </left>
      <right style="thin">
        <color indexed="8"/>
      </right>
      <top>
        <color indexed="63"/>
      </top>
      <bottom>
        <color indexed="63"/>
      </bottom>
    </border>
    <border>
      <left style="hair">
        <color indexed="8"/>
      </left>
      <right style="hair">
        <color indexed="8"/>
      </right>
      <top>
        <color indexed="63"/>
      </top>
      <bottom style="hair">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color indexed="63"/>
      </right>
      <top style="thin">
        <color indexed="8"/>
      </top>
      <bottom style="thin">
        <color indexed="8"/>
      </bottom>
    </border>
    <border>
      <left>
        <color indexed="63"/>
      </left>
      <right style="double">
        <color indexed="8"/>
      </right>
      <top style="thin">
        <color indexed="8"/>
      </top>
      <bottom style="thin">
        <color indexed="8"/>
      </bottom>
    </border>
    <border>
      <left style="double">
        <color indexed="8"/>
      </left>
      <right style="thin">
        <color indexed="8"/>
      </right>
      <top>
        <color indexed="63"/>
      </top>
      <bottom style="thin">
        <color indexed="8"/>
      </bottom>
    </border>
    <border>
      <left style="double">
        <color indexed="8"/>
      </left>
      <right>
        <color indexed="63"/>
      </right>
      <top style="thin">
        <color indexed="8"/>
      </top>
      <bottom style="thin">
        <color indexed="8"/>
      </bottom>
    </border>
    <border>
      <left style="hair">
        <color indexed="8"/>
      </left>
      <right style="hair">
        <color indexed="8"/>
      </right>
      <top style="thin">
        <color indexed="8"/>
      </top>
      <bottom style="thin">
        <color indexed="8"/>
      </bottom>
    </border>
    <border>
      <left>
        <color indexed="63"/>
      </left>
      <right style="hair">
        <color indexed="8"/>
      </right>
      <top style="thin">
        <color indexed="8"/>
      </top>
      <bottom style="thin">
        <color indexed="8"/>
      </bottom>
    </border>
    <border>
      <left style="double">
        <color indexed="8"/>
      </left>
      <right style="thin">
        <color indexed="8"/>
      </right>
      <top style="thin">
        <color indexed="8"/>
      </top>
      <bottom>
        <color indexed="63"/>
      </bottom>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double">
        <color indexed="8"/>
      </left>
      <right style="medium">
        <color indexed="8"/>
      </right>
      <top style="double">
        <color indexed="8"/>
      </top>
      <bottom style="double">
        <color indexed="8"/>
      </bottom>
    </border>
    <border>
      <left style="medium">
        <color indexed="8"/>
      </left>
      <right style="double">
        <color indexed="8"/>
      </right>
      <top style="double">
        <color indexed="8"/>
      </top>
      <bottom style="double">
        <color indexed="8"/>
      </bottom>
    </border>
    <border>
      <left>
        <color indexed="63"/>
      </left>
      <right>
        <color indexed="63"/>
      </right>
      <top>
        <color indexed="63"/>
      </top>
      <bottom style="thin">
        <color indexed="60"/>
      </bottom>
    </border>
    <border>
      <left>
        <color indexed="63"/>
      </left>
      <right style="thin">
        <color indexed="8"/>
      </right>
      <top style="thin">
        <color indexed="8"/>
      </top>
      <bottom style="thin">
        <color indexed="15"/>
      </bottom>
    </border>
    <border>
      <left>
        <color indexed="63"/>
      </left>
      <right>
        <color indexed="63"/>
      </right>
      <top>
        <color indexed="63"/>
      </top>
      <bottom style="thin">
        <color indexed="21"/>
      </bottom>
    </border>
    <border>
      <left style="thin">
        <color indexed="15"/>
      </left>
      <right style="thin">
        <color indexed="8"/>
      </right>
      <top style="thin">
        <color indexed="15"/>
      </top>
      <bottom style="thin">
        <color indexed="15"/>
      </bottom>
    </border>
    <border>
      <left style="hair">
        <color indexed="8"/>
      </left>
      <right>
        <color indexed="63"/>
      </right>
      <top style="thin">
        <color indexed="8"/>
      </top>
      <bottom>
        <color indexed="63"/>
      </bottom>
    </border>
    <border>
      <left style="hair">
        <color indexed="8"/>
      </left>
      <right style="thin">
        <color indexed="8"/>
      </right>
      <top>
        <color indexed="63"/>
      </top>
      <bottom style="hair">
        <color indexed="8"/>
      </bottom>
    </border>
    <border>
      <left>
        <color indexed="63"/>
      </left>
      <right>
        <color indexed="63"/>
      </right>
      <top style="thin">
        <color indexed="60"/>
      </top>
      <bottom style="thin">
        <color indexed="60"/>
      </bottom>
    </border>
    <border>
      <left>
        <color indexed="63"/>
      </left>
      <right>
        <color indexed="63"/>
      </right>
      <top style="thin">
        <color indexed="60"/>
      </top>
      <bottom>
        <color indexed="63"/>
      </bottom>
    </border>
    <border>
      <left style="double">
        <color indexed="8"/>
      </left>
      <right style="thin">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double">
        <color indexed="8"/>
      </left>
      <right>
        <color indexed="63"/>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style="double">
        <color indexed="8"/>
      </top>
      <bottom>
        <color indexed="63"/>
      </bottom>
    </border>
    <border>
      <left style="double">
        <color indexed="8"/>
      </left>
      <right>
        <color indexed="63"/>
      </right>
      <top style="thin">
        <color indexed="8"/>
      </top>
      <bottom style="hair">
        <color indexed="8"/>
      </bottom>
    </border>
    <border>
      <left style="thin">
        <color indexed="8"/>
      </left>
      <right style="double">
        <color indexed="8"/>
      </right>
      <top style="thin">
        <color indexed="8"/>
      </top>
      <bottom style="hair">
        <color indexed="8"/>
      </bottom>
    </border>
    <border>
      <left style="thin">
        <color indexed="8"/>
      </left>
      <right style="double">
        <color indexed="8"/>
      </right>
      <top style="thin">
        <color indexed="8"/>
      </top>
      <bottom style="thin">
        <color indexed="8"/>
      </bottom>
    </border>
    <border>
      <left style="double">
        <color indexed="8"/>
      </left>
      <right style="double">
        <color indexed="8"/>
      </right>
      <top>
        <color indexed="63"/>
      </top>
      <bottom style="thin">
        <color indexed="8"/>
      </bottom>
    </border>
    <border>
      <left style="thin">
        <color indexed="8"/>
      </left>
      <right style="double">
        <color indexed="8"/>
      </right>
      <top style="thin">
        <color indexed="8"/>
      </top>
      <bottom>
        <color indexed="63"/>
      </bottom>
    </border>
    <border>
      <left style="double">
        <color indexed="8"/>
      </left>
      <right style="double">
        <color indexed="8"/>
      </right>
      <top style="thin">
        <color indexed="8"/>
      </top>
      <bottom>
        <color indexed="63"/>
      </bottom>
    </border>
  </borders>
  <cellStyleXfs count="2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1"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21"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21"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21"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21"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21"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21"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21" fillId="1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21"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21" fillId="20"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21" fillId="2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21" fillId="22"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22"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22"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22"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22"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22"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22"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22"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22"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22"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22" fillId="4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22" fillId="4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22"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23" fillId="4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224" fillId="45" borderId="1"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225" fillId="47" borderId="3"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73" fillId="7" borderId="0" applyNumberFormat="0" applyBorder="0" applyAlignment="0" applyProtection="0"/>
    <xf numFmtId="0" fontId="22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27" fillId="0" borderId="0" applyNumberFormat="0" applyFill="0" applyBorder="0" applyAlignment="0" applyProtection="0"/>
    <xf numFmtId="0" fontId="228" fillId="4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29"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230"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231"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23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8" fillId="0" borderId="0" applyNumberFormat="0" applyFill="0" applyBorder="0" applyAlignment="0" applyProtection="0"/>
    <xf numFmtId="0" fontId="232" fillId="50"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33" fillId="0" borderId="11"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23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0" fillId="0" borderId="0" applyNumberForma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pplyNumberFormat="0" applyFill="0" applyBorder="0" applyAlignment="0" applyProtection="0"/>
    <xf numFmtId="0" fontId="1" fillId="0" borderId="0">
      <alignment vertical="center"/>
      <protection/>
    </xf>
    <xf numFmtId="0" fontId="1" fillId="0" borderId="0">
      <alignment vertical="center"/>
      <protection/>
    </xf>
    <xf numFmtId="0" fontId="1" fillId="0" borderId="0">
      <alignment vertical="center"/>
      <protection/>
    </xf>
    <xf numFmtId="0" fontId="15" fillId="0" borderId="0">
      <alignment/>
      <protection/>
    </xf>
    <xf numFmtId="0" fontId="0" fillId="0" borderId="0" applyNumberFormat="0" applyFill="0" applyBorder="0" applyAlignment="0" applyProtection="0"/>
    <xf numFmtId="0" fontId="1" fillId="0" borderId="0">
      <alignment/>
      <protection/>
    </xf>
    <xf numFmtId="0" fontId="1" fillId="0" borderId="0">
      <alignment/>
      <protection/>
    </xf>
    <xf numFmtId="0" fontId="0" fillId="53" borderId="13" applyNumberFormat="0" applyFont="0" applyAlignment="0" applyProtection="0"/>
    <xf numFmtId="0" fontId="1" fillId="54" borderId="14" applyNumberFormat="0" applyAlignment="0" applyProtection="0"/>
    <xf numFmtId="0" fontId="1" fillId="54" borderId="14" applyNumberFormat="0" applyAlignment="0" applyProtection="0"/>
    <xf numFmtId="0" fontId="1" fillId="54" borderId="14" applyNumberFormat="0" applyAlignment="0" applyProtection="0"/>
    <xf numFmtId="0" fontId="235" fillId="45" borderId="15" applyNumberFormat="0" applyAlignment="0" applyProtection="0"/>
    <xf numFmtId="0" fontId="16" fillId="46" borderId="16" applyNumberFormat="0" applyAlignment="0" applyProtection="0"/>
    <xf numFmtId="0" fontId="16" fillId="46" borderId="16" applyNumberFormat="0" applyAlignment="0" applyProtection="0"/>
    <xf numFmtId="0" fontId="16" fillId="46" borderId="16" applyNumberFormat="0" applyAlignment="0" applyProtection="0"/>
    <xf numFmtId="9" fontId="1" fillId="0" borderId="0" applyFill="0" applyBorder="0" applyAlignment="0" applyProtection="0"/>
    <xf numFmtId="0" fontId="23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237" fillId="0" borderId="17"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2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1110">
    <xf numFmtId="0" fontId="0" fillId="0" borderId="0" xfId="0" applyAlignment="1">
      <alignment/>
    </xf>
    <xf numFmtId="0" fontId="21" fillId="55" borderId="19" xfId="0" applyFont="1" applyFill="1" applyBorder="1" applyAlignment="1">
      <alignment horizontal="center"/>
    </xf>
    <xf numFmtId="0" fontId="24" fillId="55" borderId="20" xfId="0" applyFont="1" applyFill="1" applyBorder="1" applyAlignment="1">
      <alignment horizontal="center"/>
    </xf>
    <xf numFmtId="0" fontId="1" fillId="55" borderId="21" xfId="0" applyFont="1" applyFill="1" applyBorder="1" applyAlignment="1">
      <alignment horizontal="center" vertical="center"/>
    </xf>
    <xf numFmtId="0" fontId="16" fillId="55" borderId="22" xfId="0" applyFont="1" applyFill="1" applyBorder="1" applyAlignment="1">
      <alignment horizontal="left" vertical="center"/>
    </xf>
    <xf numFmtId="0" fontId="30" fillId="55" borderId="22" xfId="0" applyFont="1" applyFill="1" applyBorder="1" applyAlignment="1">
      <alignment horizontal="center" vertical="top" wrapText="1"/>
    </xf>
    <xf numFmtId="0" fontId="30" fillId="55" borderId="22" xfId="0" applyFont="1" applyFill="1" applyBorder="1" applyAlignment="1">
      <alignment horizontal="left" vertical="top" wrapText="1"/>
    </xf>
    <xf numFmtId="0" fontId="31" fillId="55" borderId="22" xfId="0" applyFont="1" applyFill="1" applyBorder="1" applyAlignment="1">
      <alignment horizontal="left" vertical="top" wrapText="1"/>
    </xf>
    <xf numFmtId="0" fontId="0" fillId="0" borderId="0" xfId="0" applyBorder="1" applyAlignment="1">
      <alignment/>
    </xf>
    <xf numFmtId="0" fontId="0" fillId="0" borderId="0" xfId="0" applyAlignment="1">
      <alignment/>
    </xf>
    <xf numFmtId="0" fontId="36" fillId="0" borderId="0" xfId="0" applyFont="1" applyFill="1" applyBorder="1" applyAlignment="1">
      <alignment horizontal="left" vertical="center"/>
    </xf>
    <xf numFmtId="0" fontId="16" fillId="0" borderId="0" xfId="0" applyFont="1" applyFill="1" applyBorder="1" applyAlignment="1">
      <alignment horizontal="left" vertical="center"/>
    </xf>
    <xf numFmtId="0" fontId="30" fillId="0" borderId="0" xfId="0" applyFont="1" applyFill="1" applyBorder="1" applyAlignment="1">
      <alignment horizontal="center" vertical="top" wrapText="1"/>
    </xf>
    <xf numFmtId="0" fontId="33" fillId="0" borderId="0" xfId="0" applyFont="1" applyAlignment="1">
      <alignment horizontal="justify" vertical="center"/>
    </xf>
    <xf numFmtId="0" fontId="0" fillId="0" borderId="0" xfId="0" applyAlignment="1">
      <alignment vertical="center" wrapText="1"/>
    </xf>
    <xf numFmtId="0" fontId="35" fillId="0" borderId="0" xfId="0" applyFont="1" applyAlignment="1">
      <alignment horizontal="justify" vertical="center" wrapText="1"/>
    </xf>
    <xf numFmtId="0" fontId="39" fillId="0" borderId="0" xfId="0" applyFont="1" applyAlignment="1">
      <alignment horizontal="justify" vertical="center" wrapText="1"/>
    </xf>
    <xf numFmtId="0" fontId="33" fillId="0" borderId="0" xfId="0" applyFont="1" applyAlignment="1">
      <alignment horizontal="justify" vertical="center" wrapText="1"/>
    </xf>
    <xf numFmtId="0" fontId="34" fillId="0" borderId="0" xfId="0" applyFont="1" applyAlignment="1">
      <alignment horizontal="left" vertical="center"/>
    </xf>
    <xf numFmtId="0" fontId="0" fillId="0" borderId="0" xfId="0" applyAlignment="1">
      <alignment horizontal="left"/>
    </xf>
    <xf numFmtId="0" fontId="42" fillId="0" borderId="0" xfId="0" applyFont="1" applyAlignment="1">
      <alignment horizontal="left"/>
    </xf>
    <xf numFmtId="0" fontId="43" fillId="0" borderId="0" xfId="0" applyFont="1" applyAlignment="1">
      <alignment horizontal="justify" vertical="center" wrapText="1"/>
    </xf>
    <xf numFmtId="0" fontId="45" fillId="55" borderId="0" xfId="0" applyFont="1" applyFill="1" applyAlignment="1">
      <alignment vertical="center" wrapText="1"/>
    </xf>
    <xf numFmtId="0" fontId="46" fillId="55" borderId="0" xfId="0" applyFont="1" applyFill="1" applyAlignment="1">
      <alignment vertical="center"/>
    </xf>
    <xf numFmtId="0" fontId="46" fillId="55" borderId="0" xfId="0" applyFont="1" applyFill="1" applyAlignment="1">
      <alignment vertical="center" wrapText="1"/>
    </xf>
    <xf numFmtId="0" fontId="0" fillId="0" borderId="0" xfId="0" applyAlignment="1">
      <alignment horizontal="justify" wrapText="1"/>
    </xf>
    <xf numFmtId="0" fontId="47" fillId="11" borderId="0" xfId="0" applyFont="1" applyFill="1" applyAlignment="1">
      <alignment horizontal="center" wrapText="1"/>
    </xf>
    <xf numFmtId="0" fontId="0" fillId="0" borderId="0" xfId="0" applyAlignment="1">
      <alignment horizontal="center" vertical="center" wrapText="1"/>
    </xf>
    <xf numFmtId="0" fontId="0" fillId="0" borderId="0" xfId="0" applyAlignment="1">
      <alignment horizontal="center" vertical="top" wrapText="1"/>
    </xf>
    <xf numFmtId="0" fontId="48" fillId="0" borderId="0" xfId="153" applyNumberFormat="1" applyFont="1" applyFill="1" applyBorder="1" applyAlignment="1" applyProtection="1">
      <alignment horizontal="center" vertical="center" wrapText="1"/>
      <protection/>
    </xf>
    <xf numFmtId="0" fontId="49" fillId="0" borderId="0" xfId="0" applyFont="1" applyAlignment="1">
      <alignment horizontal="center" vertical="top" wrapText="1"/>
    </xf>
    <xf numFmtId="0" fontId="50" fillId="0" borderId="0" xfId="0" applyFont="1" applyAlignment="1">
      <alignment horizontal="center" vertical="center" wrapText="1"/>
    </xf>
    <xf numFmtId="0" fontId="51" fillId="0" borderId="0" xfId="0" applyFont="1" applyAlignment="1">
      <alignment horizontal="center" vertical="center" wrapText="1"/>
    </xf>
    <xf numFmtId="0" fontId="49" fillId="0" borderId="0" xfId="0" applyFont="1" applyAlignment="1">
      <alignment horizontal="center" vertical="center" wrapText="1"/>
    </xf>
    <xf numFmtId="0" fontId="52" fillId="0" borderId="0" xfId="0" applyFont="1" applyAlignment="1">
      <alignment horizontal="center" vertical="center" wrapText="1"/>
    </xf>
    <xf numFmtId="0" fontId="47" fillId="0" borderId="0" xfId="0" applyFont="1" applyAlignment="1">
      <alignment horizontal="center" vertical="center" wrapText="1"/>
    </xf>
    <xf numFmtId="0" fontId="52" fillId="0" borderId="0" xfId="0" applyFont="1" applyAlignment="1">
      <alignment horizontal="center" vertical="top" wrapText="1"/>
    </xf>
    <xf numFmtId="0" fontId="50" fillId="0" borderId="0" xfId="0" applyFont="1" applyAlignment="1">
      <alignment horizontal="center" vertical="top" wrapText="1"/>
    </xf>
    <xf numFmtId="0" fontId="0" fillId="0" borderId="0" xfId="0" applyAlignment="1">
      <alignment horizontal="center" vertical="center"/>
    </xf>
    <xf numFmtId="0" fontId="47" fillId="0" borderId="0" xfId="0" applyFont="1" applyAlignment="1">
      <alignment horizontal="center" vertical="top" wrapText="1"/>
    </xf>
    <xf numFmtId="164" fontId="54" fillId="9" borderId="20" xfId="0" applyNumberFormat="1" applyFont="1" applyFill="1" applyBorder="1" applyAlignment="1">
      <alignment horizontal="left" vertical="center"/>
    </xf>
    <xf numFmtId="164" fontId="54" fillId="13" borderId="20" xfId="0" applyNumberFormat="1" applyFont="1" applyFill="1" applyBorder="1" applyAlignment="1">
      <alignment horizontal="left" vertical="center"/>
    </xf>
    <xf numFmtId="164" fontId="55" fillId="7" borderId="20" xfId="0" applyNumberFormat="1" applyFont="1" applyFill="1" applyBorder="1" applyAlignment="1">
      <alignment horizontal="center" vertical="center"/>
    </xf>
    <xf numFmtId="3" fontId="55" fillId="56" borderId="20" xfId="0" applyNumberFormat="1" applyFont="1" applyFill="1" applyBorder="1" applyAlignment="1" applyProtection="1">
      <alignment horizontal="center" vertical="center"/>
      <protection locked="0"/>
    </xf>
    <xf numFmtId="9" fontId="55" fillId="56" borderId="20" xfId="0" applyNumberFormat="1" applyFont="1" applyFill="1" applyBorder="1" applyAlignment="1" applyProtection="1">
      <alignment horizontal="center" vertical="center"/>
      <protection locked="0"/>
    </xf>
    <xf numFmtId="1" fontId="55" fillId="7" borderId="20" xfId="0" applyNumberFormat="1" applyFont="1" applyFill="1" applyBorder="1" applyAlignment="1">
      <alignment horizontal="left" vertical="center"/>
    </xf>
    <xf numFmtId="3" fontId="55" fillId="5" borderId="20" xfId="0" applyNumberFormat="1" applyFont="1" applyFill="1" applyBorder="1" applyAlignment="1" applyProtection="1">
      <alignment horizontal="center" vertical="center"/>
      <protection hidden="1"/>
    </xf>
    <xf numFmtId="164" fontId="55" fillId="7" borderId="20" xfId="0" applyNumberFormat="1" applyFont="1" applyFill="1" applyBorder="1" applyAlignment="1">
      <alignment horizontal="left" vertical="center"/>
    </xf>
    <xf numFmtId="1" fontId="0" fillId="0" borderId="0" xfId="0" applyNumberFormat="1" applyAlignment="1">
      <alignment/>
    </xf>
    <xf numFmtId="3" fontId="55" fillId="5" borderId="23" xfId="0" applyNumberFormat="1" applyFont="1" applyFill="1" applyBorder="1" applyAlignment="1" applyProtection="1">
      <alignment horizontal="center" vertical="center"/>
      <protection hidden="1"/>
    </xf>
    <xf numFmtId="3" fontId="55" fillId="5" borderId="24" xfId="0" applyNumberFormat="1" applyFont="1" applyFill="1" applyBorder="1" applyAlignment="1" applyProtection="1">
      <alignment horizontal="center" vertical="center"/>
      <protection/>
    </xf>
    <xf numFmtId="1" fontId="55" fillId="7" borderId="20" xfId="0" applyNumberFormat="1" applyFont="1" applyFill="1" applyBorder="1" applyAlignment="1" applyProtection="1">
      <alignment horizontal="center" vertical="center"/>
      <protection hidden="1"/>
    </xf>
    <xf numFmtId="1" fontId="55" fillId="56" borderId="20" xfId="0" applyNumberFormat="1" applyFont="1" applyFill="1" applyBorder="1" applyAlignment="1" applyProtection="1">
      <alignment horizontal="center" vertical="center"/>
      <protection locked="0"/>
    </xf>
    <xf numFmtId="10" fontId="55" fillId="56" borderId="20" xfId="0" applyNumberFormat="1" applyFont="1" applyFill="1" applyBorder="1" applyAlignment="1" applyProtection="1">
      <alignment horizontal="center" vertical="center"/>
      <protection locked="0"/>
    </xf>
    <xf numFmtId="1" fontId="0" fillId="7" borderId="20" xfId="0" applyNumberFormat="1" applyFill="1" applyBorder="1" applyAlignment="1">
      <alignment horizontal="left" vertical="center"/>
    </xf>
    <xf numFmtId="1" fontId="55" fillId="7" borderId="20" xfId="0" applyNumberFormat="1" applyFont="1" applyFill="1" applyBorder="1" applyAlignment="1" applyProtection="1">
      <alignment horizontal="center" vertical="center"/>
      <protection locked="0"/>
    </xf>
    <xf numFmtId="0" fontId="0" fillId="0" borderId="0" xfId="0" applyFill="1" applyBorder="1" applyAlignment="1">
      <alignment/>
    </xf>
    <xf numFmtId="164" fontId="0" fillId="0" borderId="0" xfId="0" applyNumberFormat="1" applyFill="1" applyBorder="1" applyAlignment="1">
      <alignment horizontal="left" vertical="center"/>
    </xf>
    <xf numFmtId="1" fontId="0" fillId="0" borderId="0" xfId="0" applyNumberFormat="1" applyFill="1" applyBorder="1" applyAlignment="1">
      <alignment horizontal="left" vertical="center"/>
    </xf>
    <xf numFmtId="1" fontId="0" fillId="0" borderId="0" xfId="0" applyNumberFormat="1" applyFill="1" applyBorder="1" applyAlignment="1" applyProtection="1">
      <alignment horizontal="left" vertical="center"/>
      <protection locked="0"/>
    </xf>
    <xf numFmtId="9" fontId="0" fillId="0" borderId="0" xfId="0" applyNumberFormat="1" applyFill="1" applyBorder="1" applyAlignment="1" applyProtection="1">
      <alignment horizontal="left" vertical="center"/>
      <protection locked="0"/>
    </xf>
    <xf numFmtId="9" fontId="0" fillId="0" borderId="0" xfId="0" applyNumberFormat="1" applyFill="1" applyBorder="1" applyAlignment="1">
      <alignment horizontal="left" vertical="center"/>
    </xf>
    <xf numFmtId="0" fontId="0" fillId="0" borderId="0" xfId="0" applyFill="1" applyBorder="1" applyAlignment="1" applyProtection="1">
      <alignment/>
      <protection locked="0"/>
    </xf>
    <xf numFmtId="9" fontId="54" fillId="56" borderId="20" xfId="0" applyNumberFormat="1" applyFont="1" applyFill="1" applyBorder="1" applyAlignment="1" applyProtection="1">
      <alignment horizontal="center" vertical="center"/>
      <protection locked="0"/>
    </xf>
    <xf numFmtId="3" fontId="59" fillId="5" borderId="20" xfId="0" applyNumberFormat="1" applyFont="1" applyFill="1" applyBorder="1" applyAlignment="1">
      <alignment horizontal="center" vertical="center"/>
    </xf>
    <xf numFmtId="0" fontId="0" fillId="0" borderId="0" xfId="0" applyFont="1" applyFill="1" applyAlignment="1">
      <alignment/>
    </xf>
    <xf numFmtId="0" fontId="0" fillId="0" borderId="0" xfId="0" applyFont="1" applyAlignment="1">
      <alignment horizontal="left" vertical="center" wrapText="1"/>
    </xf>
    <xf numFmtId="3" fontId="59" fillId="0" borderId="0" xfId="0" applyNumberFormat="1" applyFont="1" applyAlignment="1">
      <alignment horizontal="center" vertical="center"/>
    </xf>
    <xf numFmtId="0" fontId="56" fillId="57" borderId="23" xfId="0" applyFont="1" applyFill="1" applyBorder="1" applyAlignment="1">
      <alignment horizontal="left" vertical="center"/>
    </xf>
    <xf numFmtId="0" fontId="56" fillId="57" borderId="25" xfId="0" applyFont="1" applyFill="1" applyBorder="1" applyAlignment="1">
      <alignment horizontal="left" vertical="center"/>
    </xf>
    <xf numFmtId="0" fontId="0" fillId="58" borderId="0" xfId="0" applyFont="1" applyFill="1" applyAlignment="1">
      <alignment horizontal="left" vertical="center"/>
    </xf>
    <xf numFmtId="0" fontId="0" fillId="58" borderId="0" xfId="0" applyFill="1" applyAlignment="1">
      <alignment/>
    </xf>
    <xf numFmtId="0" fontId="0" fillId="58" borderId="0" xfId="0" applyFill="1" applyAlignment="1">
      <alignment horizontal="center" vertical="center"/>
    </xf>
    <xf numFmtId="0" fontId="56" fillId="15" borderId="23" xfId="0" applyFont="1" applyFill="1" applyBorder="1" applyAlignment="1">
      <alignment horizontal="left" vertical="center"/>
    </xf>
    <xf numFmtId="0" fontId="56" fillId="15" borderId="25" xfId="0" applyFont="1" applyFill="1" applyBorder="1" applyAlignment="1">
      <alignment horizontal="left" vertical="center"/>
    </xf>
    <xf numFmtId="0" fontId="56" fillId="23" borderId="23" xfId="0" applyFont="1" applyFill="1" applyBorder="1" applyAlignment="1">
      <alignment horizontal="left" vertical="center"/>
    </xf>
    <xf numFmtId="0" fontId="56" fillId="23" borderId="25" xfId="0" applyFont="1" applyFill="1" applyBorder="1" applyAlignment="1">
      <alignment horizontal="left" vertical="center"/>
    </xf>
    <xf numFmtId="0" fontId="56" fillId="59" borderId="23" xfId="0" applyFont="1" applyFill="1" applyBorder="1" applyAlignment="1">
      <alignment horizontal="left" vertical="center"/>
    </xf>
    <xf numFmtId="0" fontId="56" fillId="59" borderId="25" xfId="0" applyFont="1" applyFill="1" applyBorder="1" applyAlignment="1">
      <alignment horizontal="left" vertical="center"/>
    </xf>
    <xf numFmtId="0" fontId="0" fillId="15" borderId="23" xfId="0" applyFont="1" applyFill="1" applyBorder="1" applyAlignment="1">
      <alignment horizontal="left" vertical="center"/>
    </xf>
    <xf numFmtId="0" fontId="56" fillId="15" borderId="24" xfId="0" applyFont="1" applyFill="1" applyBorder="1" applyAlignment="1">
      <alignment horizontal="left" vertical="center"/>
    </xf>
    <xf numFmtId="0" fontId="0" fillId="15" borderId="26" xfId="0" applyFont="1" applyFill="1" applyBorder="1" applyAlignment="1">
      <alignment horizontal="left" vertical="center"/>
    </xf>
    <xf numFmtId="0" fontId="56" fillId="15" borderId="27" xfId="0" applyFont="1" applyFill="1" applyBorder="1" applyAlignment="1">
      <alignment horizontal="left" vertical="center"/>
    </xf>
    <xf numFmtId="0" fontId="56" fillId="15" borderId="28" xfId="0" applyFont="1" applyFill="1" applyBorder="1" applyAlignment="1">
      <alignment horizontal="left" vertical="center"/>
    </xf>
    <xf numFmtId="0" fontId="0" fillId="52" borderId="23" xfId="0" applyFont="1" applyFill="1" applyBorder="1" applyAlignment="1">
      <alignment horizontal="left" vertical="center"/>
    </xf>
    <xf numFmtId="0" fontId="0" fillId="52" borderId="25" xfId="0" applyFill="1" applyBorder="1" applyAlignment="1">
      <alignment horizontal="left" vertical="center"/>
    </xf>
    <xf numFmtId="0" fontId="56" fillId="52" borderId="25" xfId="0" applyFont="1" applyFill="1" applyBorder="1" applyAlignment="1">
      <alignment horizontal="left" vertical="center"/>
    </xf>
    <xf numFmtId="0" fontId="56" fillId="0" borderId="29" xfId="0" applyFont="1" applyFill="1" applyBorder="1" applyAlignment="1">
      <alignment vertical="center"/>
    </xf>
    <xf numFmtId="0" fontId="56" fillId="0" borderId="0" xfId="0" applyFont="1" applyFill="1" applyBorder="1" applyAlignment="1">
      <alignment vertical="center"/>
    </xf>
    <xf numFmtId="3" fontId="54" fillId="0" borderId="0" xfId="0" applyNumberFormat="1" applyFont="1" applyFill="1" applyBorder="1" applyAlignment="1" applyProtection="1">
      <alignment vertical="center"/>
      <protection locked="0"/>
    </xf>
    <xf numFmtId="0" fontId="65" fillId="0" borderId="27" xfId="0" applyFont="1" applyFill="1" applyBorder="1" applyAlignment="1">
      <alignment vertical="center"/>
    </xf>
    <xf numFmtId="0" fontId="65" fillId="0" borderId="0" xfId="0" applyFont="1" applyFill="1" applyBorder="1" applyAlignment="1">
      <alignment vertical="center"/>
    </xf>
    <xf numFmtId="0" fontId="0" fillId="0" borderId="0" xfId="0" applyBorder="1" applyAlignment="1">
      <alignment/>
    </xf>
    <xf numFmtId="0" fontId="67" fillId="15" borderId="27" xfId="0" applyFont="1" applyFill="1" applyBorder="1" applyAlignment="1" applyProtection="1">
      <alignment vertical="center"/>
      <protection hidden="1"/>
    </xf>
    <xf numFmtId="0" fontId="0" fillId="0" borderId="0" xfId="0" applyAlignment="1" applyProtection="1">
      <alignment/>
      <protection hidden="1"/>
    </xf>
    <xf numFmtId="0" fontId="71" fillId="15" borderId="0" xfId="0" applyFont="1" applyFill="1" applyBorder="1" applyAlignment="1" applyProtection="1">
      <alignment vertical="center"/>
      <protection hidden="1"/>
    </xf>
    <xf numFmtId="0" fontId="0" fillId="15" borderId="0" xfId="0" applyFill="1" applyBorder="1" applyAlignment="1" applyProtection="1">
      <alignment/>
      <protection hidden="1"/>
    </xf>
    <xf numFmtId="0" fontId="72" fillId="7" borderId="23" xfId="127" applyNumberFormat="1" applyFont="1" applyBorder="1" applyAlignment="1" applyProtection="1">
      <alignment horizontal="left" vertical="center" wrapText="1"/>
      <protection hidden="1"/>
    </xf>
    <xf numFmtId="0" fontId="0" fillId="7" borderId="20" xfId="0" applyFont="1" applyFill="1" applyBorder="1" applyAlignment="1">
      <alignment horizontal="left" vertical="center"/>
    </xf>
    <xf numFmtId="0" fontId="72" fillId="7" borderId="30" xfId="127" applyNumberFormat="1" applyFont="1" applyFill="1" applyBorder="1" applyAlignment="1" applyProtection="1">
      <alignment horizontal="left" vertical="center" wrapText="1"/>
      <protection hidden="1"/>
    </xf>
    <xf numFmtId="0" fontId="75" fillId="7" borderId="31" xfId="0" applyFont="1" applyFill="1" applyBorder="1" applyAlignment="1" applyProtection="1">
      <alignment horizontal="center" vertical="center"/>
      <protection hidden="1"/>
    </xf>
    <xf numFmtId="0" fontId="76" fillId="7" borderId="31" xfId="0" applyFont="1" applyFill="1" applyBorder="1" applyAlignment="1" applyProtection="1">
      <alignment horizontal="center" vertical="center"/>
      <protection hidden="1"/>
    </xf>
    <xf numFmtId="0" fontId="75" fillId="15" borderId="32" xfId="0" applyFont="1" applyFill="1" applyBorder="1" applyAlignment="1" applyProtection="1">
      <alignment horizontal="center" vertical="center"/>
      <protection hidden="1"/>
    </xf>
    <xf numFmtId="0" fontId="72" fillId="7" borderId="23" xfId="127" applyNumberFormat="1" applyFont="1" applyBorder="1" applyAlignment="1" applyProtection="1">
      <alignment horizontal="left" vertical="center"/>
      <protection hidden="1"/>
    </xf>
    <xf numFmtId="49" fontId="2" fillId="56" borderId="33" xfId="0" applyNumberFormat="1" applyFont="1" applyFill="1" applyBorder="1" applyAlignment="1" applyProtection="1">
      <alignment horizontal="left" vertical="center"/>
      <protection locked="0"/>
    </xf>
    <xf numFmtId="0" fontId="0" fillId="43" borderId="0" xfId="0" applyFill="1" applyBorder="1" applyAlignment="1">
      <alignment/>
    </xf>
    <xf numFmtId="0" fontId="72" fillId="7" borderId="34" xfId="127" applyNumberFormat="1" applyFont="1" applyBorder="1" applyAlignment="1" applyProtection="1">
      <alignment horizontal="left" vertical="center"/>
      <protection hidden="1"/>
    </xf>
    <xf numFmtId="0" fontId="77" fillId="0" borderId="0" xfId="0" applyFont="1" applyAlignment="1">
      <alignment/>
    </xf>
    <xf numFmtId="0" fontId="78" fillId="11" borderId="32" xfId="0" applyFont="1" applyFill="1" applyBorder="1" applyAlignment="1" applyProtection="1">
      <alignment horizontal="left" vertical="center"/>
      <protection hidden="1"/>
    </xf>
    <xf numFmtId="0" fontId="79" fillId="60" borderId="32" xfId="0" applyFont="1" applyFill="1" applyBorder="1" applyAlignment="1" applyProtection="1">
      <alignment horizontal="center" vertical="center"/>
      <protection hidden="1"/>
    </xf>
    <xf numFmtId="165" fontId="79" fillId="60" borderId="32" xfId="0" applyNumberFormat="1" applyFont="1" applyFill="1" applyBorder="1" applyAlignment="1" applyProtection="1">
      <alignment horizontal="center" vertical="center"/>
      <protection hidden="1"/>
    </xf>
    <xf numFmtId="2" fontId="79" fillId="60" borderId="32" xfId="0" applyNumberFormat="1" applyFont="1" applyFill="1" applyBorder="1" applyAlignment="1" applyProtection="1">
      <alignment horizontal="center" vertical="center"/>
      <protection hidden="1"/>
    </xf>
    <xf numFmtId="1" fontId="18" fillId="56" borderId="35" xfId="0" applyNumberFormat="1" applyFont="1" applyFill="1" applyBorder="1" applyAlignment="1" applyProtection="1">
      <alignment vertical="center"/>
      <protection locked="0"/>
    </xf>
    <xf numFmtId="0" fontId="72" fillId="7" borderId="23" xfId="127" applyNumberFormat="1" applyFont="1" applyFill="1" applyBorder="1" applyAlignment="1" applyProtection="1">
      <alignment horizontal="left" vertical="center"/>
      <protection hidden="1"/>
    </xf>
    <xf numFmtId="0" fontId="72" fillId="7" borderId="36" xfId="127" applyNumberFormat="1" applyFont="1" applyFill="1" applyBorder="1" applyAlignment="1" applyProtection="1">
      <alignment horizontal="left" vertical="center"/>
      <protection hidden="1"/>
    </xf>
    <xf numFmtId="0" fontId="81" fillId="0" borderId="0" xfId="0" applyFont="1" applyAlignment="1">
      <alignment/>
    </xf>
    <xf numFmtId="0" fontId="82" fillId="7" borderId="37" xfId="0" applyFont="1" applyFill="1" applyBorder="1" applyAlignment="1">
      <alignment horizontal="left" vertical="center"/>
    </xf>
    <xf numFmtId="0" fontId="0" fillId="7" borderId="37" xfId="0" applyFont="1" applyFill="1" applyBorder="1" applyAlignment="1" applyProtection="1">
      <alignment horizontal="left" vertical="center"/>
      <protection hidden="1"/>
    </xf>
    <xf numFmtId="0" fontId="0" fillId="0" borderId="38" xfId="0" applyBorder="1" applyAlignment="1" applyProtection="1">
      <alignment vertical="center" wrapText="1"/>
      <protection hidden="1"/>
    </xf>
    <xf numFmtId="0" fontId="72" fillId="7" borderId="20" xfId="127" applyNumberFormat="1" applyFont="1" applyBorder="1" applyAlignment="1" applyProtection="1">
      <alignment horizontal="left" vertical="center"/>
      <protection hidden="1"/>
    </xf>
    <xf numFmtId="0" fontId="0" fillId="0" borderId="20" xfId="0" applyBorder="1" applyAlignment="1">
      <alignment horizontal="left" vertical="center"/>
    </xf>
    <xf numFmtId="1" fontId="47" fillId="56" borderId="35" xfId="0" applyNumberFormat="1" applyFont="1" applyFill="1" applyBorder="1" applyAlignment="1" applyProtection="1">
      <alignment horizontal="left" vertical="center"/>
      <protection locked="0"/>
    </xf>
    <xf numFmtId="0" fontId="0" fillId="43" borderId="39" xfId="0" applyFill="1" applyBorder="1" applyAlignment="1">
      <alignment/>
    </xf>
    <xf numFmtId="0" fontId="72" fillId="7" borderId="34" xfId="127" applyNumberFormat="1" applyFont="1" applyBorder="1" applyAlignment="1" applyProtection="1">
      <alignment horizontal="left" vertical="top" wrapText="1"/>
      <protection hidden="1"/>
    </xf>
    <xf numFmtId="0" fontId="0" fillId="0" borderId="0" xfId="0" applyFill="1" applyBorder="1" applyAlignment="1">
      <alignment/>
    </xf>
    <xf numFmtId="0" fontId="0" fillId="0" borderId="23" xfId="0" applyBorder="1" applyAlignment="1">
      <alignment horizontal="left" vertical="center"/>
    </xf>
    <xf numFmtId="1" fontId="47" fillId="56" borderId="40" xfId="0" applyNumberFormat="1" applyFont="1" applyFill="1" applyBorder="1" applyAlignment="1" applyProtection="1">
      <alignment horizontal="left" vertical="center" wrapText="1"/>
      <protection locked="0"/>
    </xf>
    <xf numFmtId="0" fontId="72" fillId="7" borderId="34" xfId="0" applyFont="1" applyFill="1" applyBorder="1" applyAlignment="1" applyProtection="1">
      <alignment horizontal="left" vertical="center" wrapText="1"/>
      <protection hidden="1"/>
    </xf>
    <xf numFmtId="0" fontId="0" fillId="0" borderId="0" xfId="0" applyFill="1" applyBorder="1" applyAlignment="1">
      <alignment horizontal="left"/>
    </xf>
    <xf numFmtId="0" fontId="85" fillId="7" borderId="20" xfId="0" applyFont="1" applyFill="1" applyBorder="1" applyAlignment="1">
      <alignment horizontal="left" vertical="center" wrapText="1"/>
    </xf>
    <xf numFmtId="0" fontId="0" fillId="0" borderId="37" xfId="0" applyBorder="1" applyAlignment="1">
      <alignment horizontal="left" vertical="center"/>
    </xf>
    <xf numFmtId="0" fontId="0" fillId="43" borderId="29" xfId="0" applyFill="1" applyBorder="1" applyAlignment="1">
      <alignment/>
    </xf>
    <xf numFmtId="0" fontId="24" fillId="7" borderId="41" xfId="0" applyFont="1" applyFill="1" applyBorder="1" applyAlignment="1" applyProtection="1">
      <alignment horizontal="left" vertical="center" wrapText="1"/>
      <protection hidden="1"/>
    </xf>
    <xf numFmtId="0" fontId="72" fillId="7" borderId="36" xfId="127" applyNumberFormat="1" applyFont="1" applyBorder="1" applyAlignment="1" applyProtection="1">
      <alignment horizontal="left" vertical="center"/>
      <protection hidden="1"/>
    </xf>
    <xf numFmtId="1" fontId="80" fillId="56" borderId="25" xfId="0" applyNumberFormat="1" applyFont="1" applyFill="1" applyBorder="1" applyAlignment="1" applyProtection="1">
      <alignment horizontal="left" vertical="center"/>
      <protection locked="0"/>
    </xf>
    <xf numFmtId="1" fontId="86" fillId="56" borderId="23" xfId="0" applyNumberFormat="1" applyFont="1" applyFill="1" applyBorder="1" applyAlignment="1" applyProtection="1">
      <alignment horizontal="left" vertical="center"/>
      <protection locked="0"/>
    </xf>
    <xf numFmtId="0" fontId="0" fillId="0" borderId="42" xfId="0" applyBorder="1" applyAlignment="1">
      <alignment/>
    </xf>
    <xf numFmtId="0" fontId="0" fillId="0" borderId="26" xfId="0" applyBorder="1" applyAlignment="1">
      <alignment horizontal="left" vertical="center"/>
    </xf>
    <xf numFmtId="0" fontId="0" fillId="5" borderId="27" xfId="0" applyFill="1" applyBorder="1" applyAlignment="1">
      <alignment/>
    </xf>
    <xf numFmtId="1" fontId="86" fillId="56" borderId="43" xfId="0" applyNumberFormat="1" applyFont="1" applyFill="1" applyBorder="1" applyAlignment="1" applyProtection="1">
      <alignment horizontal="left" vertical="center"/>
      <protection locked="0"/>
    </xf>
    <xf numFmtId="1" fontId="86" fillId="56" borderId="44" xfId="0" applyNumberFormat="1" applyFont="1" applyFill="1" applyBorder="1" applyAlignment="1" applyProtection="1">
      <alignment horizontal="left" vertical="center"/>
      <protection locked="0"/>
    </xf>
    <xf numFmtId="0" fontId="0" fillId="46" borderId="24" xfId="0" applyFont="1" applyFill="1" applyBorder="1" applyAlignment="1">
      <alignment horizontal="center" vertical="center"/>
    </xf>
    <xf numFmtId="3" fontId="86" fillId="56" borderId="35" xfId="0" applyNumberFormat="1" applyFont="1" applyFill="1" applyBorder="1" applyAlignment="1" applyProtection="1">
      <alignment horizontal="left" vertical="center"/>
      <protection locked="0"/>
    </xf>
    <xf numFmtId="0" fontId="88" fillId="0" borderId="0" xfId="127" applyNumberFormat="1" applyFont="1" applyFill="1" applyBorder="1" applyAlignment="1" applyProtection="1">
      <alignment vertical="center"/>
      <protection hidden="1"/>
    </xf>
    <xf numFmtId="0" fontId="21" fillId="0" borderId="0" xfId="0" applyFont="1" applyFill="1" applyBorder="1" applyAlignment="1">
      <alignment horizontal="left"/>
    </xf>
    <xf numFmtId="0" fontId="21" fillId="0" borderId="0" xfId="0" applyFont="1" applyFill="1" applyBorder="1" applyAlignment="1">
      <alignment/>
    </xf>
    <xf numFmtId="0" fontId="78" fillId="11" borderId="45" xfId="0" applyFont="1" applyFill="1" applyBorder="1" applyAlignment="1" applyProtection="1">
      <alignment horizontal="left" vertical="center"/>
      <protection hidden="1"/>
    </xf>
    <xf numFmtId="0" fontId="79" fillId="60" borderId="45" xfId="0" applyFont="1" applyFill="1" applyBorder="1" applyAlignment="1" applyProtection="1">
      <alignment horizontal="center" vertical="center"/>
      <protection hidden="1"/>
    </xf>
    <xf numFmtId="165" fontId="79" fillId="60" borderId="45" xfId="0" applyNumberFormat="1" applyFont="1" applyFill="1" applyBorder="1" applyAlignment="1" applyProtection="1">
      <alignment horizontal="center" vertical="center"/>
      <protection hidden="1"/>
    </xf>
    <xf numFmtId="2" fontId="79" fillId="60" borderId="45" xfId="0" applyNumberFormat="1" applyFont="1" applyFill="1" applyBorder="1" applyAlignment="1" applyProtection="1">
      <alignment horizontal="center" vertical="center"/>
      <protection hidden="1"/>
    </xf>
    <xf numFmtId="0" fontId="89" fillId="7" borderId="26" xfId="127" applyNumberFormat="1" applyFont="1" applyBorder="1" applyAlignment="1" applyProtection="1">
      <alignment horizontal="left" vertical="center" wrapText="1"/>
      <protection hidden="1"/>
    </xf>
    <xf numFmtId="1" fontId="86" fillId="56" borderId="46" xfId="0" applyNumberFormat="1" applyFont="1" applyFill="1" applyBorder="1" applyAlignment="1" applyProtection="1">
      <alignment horizontal="center" vertical="center"/>
      <protection locked="0"/>
    </xf>
    <xf numFmtId="0" fontId="31" fillId="7" borderId="19" xfId="0" applyFont="1" applyFill="1" applyBorder="1" applyAlignment="1">
      <alignment horizontal="left" vertical="center"/>
    </xf>
    <xf numFmtId="0" fontId="0" fillId="0" borderId="33" xfId="0" applyBorder="1" applyAlignment="1">
      <alignment/>
    </xf>
    <xf numFmtId="0" fontId="88" fillId="0" borderId="0" xfId="127" applyNumberFormat="1" applyFont="1" applyFill="1" applyBorder="1" applyAlignment="1" applyProtection="1">
      <alignment horizontal="right" vertical="center"/>
      <protection hidden="1"/>
    </xf>
    <xf numFmtId="0" fontId="0" fillId="0" borderId="44" xfId="0" applyBorder="1" applyAlignment="1">
      <alignment/>
    </xf>
    <xf numFmtId="0" fontId="0" fillId="46" borderId="28" xfId="0" applyFont="1" applyFill="1" applyBorder="1" applyAlignment="1">
      <alignment horizontal="center" vertical="center"/>
    </xf>
    <xf numFmtId="0" fontId="92" fillId="25" borderId="37" xfId="127" applyNumberFormat="1" applyFont="1" applyFill="1" applyBorder="1" applyAlignment="1" applyProtection="1">
      <alignment horizontal="left" vertical="center" wrapText="1"/>
      <protection hidden="1"/>
    </xf>
    <xf numFmtId="0" fontId="21" fillId="0" borderId="25" xfId="0" applyFont="1" applyFill="1" applyBorder="1" applyAlignment="1">
      <alignment horizontal="left" vertical="center"/>
    </xf>
    <xf numFmtId="0" fontId="21" fillId="0" borderId="24" xfId="0" applyFont="1" applyFill="1" applyBorder="1" applyAlignment="1">
      <alignment horizontal="left" vertical="center"/>
    </xf>
    <xf numFmtId="0" fontId="74" fillId="43" borderId="21" xfId="0" applyFont="1" applyFill="1" applyBorder="1" applyAlignment="1">
      <alignment/>
    </xf>
    <xf numFmtId="0" fontId="0" fillId="46" borderId="20" xfId="0" applyFont="1" applyFill="1" applyBorder="1" applyAlignment="1">
      <alignment horizontal="center" vertical="center"/>
    </xf>
    <xf numFmtId="0" fontId="95" fillId="0" borderId="0" xfId="127" applyNumberFormat="1" applyFont="1" applyFill="1" applyBorder="1" applyAlignment="1" applyProtection="1">
      <alignment vertical="center" wrapText="1"/>
      <protection hidden="1"/>
    </xf>
    <xf numFmtId="0" fontId="0" fillId="43" borderId="47" xfId="0" applyFill="1" applyBorder="1" applyAlignment="1">
      <alignment/>
    </xf>
    <xf numFmtId="0" fontId="21" fillId="0" borderId="0" xfId="0" applyFont="1" applyFill="1" applyBorder="1" applyAlignment="1" applyProtection="1">
      <alignment horizontal="left" vertical="center"/>
      <protection hidden="1"/>
    </xf>
    <xf numFmtId="0" fontId="72" fillId="7" borderId="19" xfId="127" applyNumberFormat="1" applyFont="1" applyBorder="1" applyAlignment="1" applyProtection="1">
      <alignment vertical="center"/>
      <protection hidden="1"/>
    </xf>
    <xf numFmtId="17" fontId="18" fillId="7" borderId="36" xfId="0" applyNumberFormat="1" applyFont="1" applyFill="1" applyBorder="1" applyAlignment="1">
      <alignment horizontal="left" vertical="center"/>
    </xf>
    <xf numFmtId="1" fontId="97" fillId="56" borderId="43" xfId="0" applyNumberFormat="1" applyFont="1" applyFill="1" applyBorder="1" applyAlignment="1" applyProtection="1">
      <alignment horizontal="left" vertical="center"/>
      <protection locked="0"/>
    </xf>
    <xf numFmtId="3" fontId="98" fillId="56" borderId="35" xfId="0" applyNumberFormat="1" applyFont="1" applyFill="1" applyBorder="1" applyAlignment="1" applyProtection="1">
      <alignment horizontal="left" vertical="center"/>
      <protection locked="0"/>
    </xf>
    <xf numFmtId="0" fontId="100" fillId="0" borderId="0" xfId="0" applyFont="1" applyFill="1" applyBorder="1" applyAlignment="1" applyProtection="1">
      <alignment horizontal="center" vertical="center" wrapText="1"/>
      <protection hidden="1"/>
    </xf>
    <xf numFmtId="0" fontId="47" fillId="7" borderId="20" xfId="0" applyFont="1" applyFill="1" applyBorder="1" applyAlignment="1">
      <alignment horizontal="left" vertical="center"/>
    </xf>
    <xf numFmtId="0" fontId="0" fillId="43" borderId="21" xfId="0" applyFill="1" applyBorder="1" applyAlignment="1">
      <alignment/>
    </xf>
    <xf numFmtId="3" fontId="86" fillId="56" borderId="0" xfId="0" applyNumberFormat="1" applyFont="1" applyFill="1" applyAlignment="1" applyProtection="1">
      <alignment horizontal="left" vertical="center"/>
      <protection locked="0"/>
    </xf>
    <xf numFmtId="0" fontId="0" fillId="46" borderId="0" xfId="0" applyFill="1" applyAlignment="1">
      <alignment/>
    </xf>
    <xf numFmtId="1" fontId="104" fillId="0" borderId="0" xfId="0" applyNumberFormat="1" applyFont="1" applyFill="1" applyAlignment="1">
      <alignment vertical="center"/>
    </xf>
    <xf numFmtId="17" fontId="18" fillId="7" borderId="23" xfId="0" applyNumberFormat="1" applyFont="1" applyFill="1" applyBorder="1" applyAlignment="1">
      <alignment horizontal="left" vertical="center"/>
    </xf>
    <xf numFmtId="0" fontId="72" fillId="7" borderId="23" xfId="0" applyFont="1" applyFill="1" applyBorder="1" applyAlignment="1">
      <alignment horizontal="left" vertical="center"/>
    </xf>
    <xf numFmtId="0" fontId="24" fillId="7" borderId="24" xfId="0" applyFont="1" applyFill="1" applyBorder="1" applyAlignment="1">
      <alignment horizontal="left" vertical="center"/>
    </xf>
    <xf numFmtId="0" fontId="105" fillId="0" borderId="0" xfId="0" applyFont="1" applyFill="1" applyBorder="1" applyAlignment="1">
      <alignment horizontal="center" vertical="center"/>
    </xf>
    <xf numFmtId="0" fontId="72" fillId="7" borderId="25" xfId="0" applyFont="1" applyFill="1" applyBorder="1" applyAlignment="1">
      <alignment horizontal="left" vertical="center"/>
    </xf>
    <xf numFmtId="0" fontId="24" fillId="7" borderId="25" xfId="0" applyFont="1" applyFill="1" applyBorder="1" applyAlignment="1">
      <alignment horizontal="left" vertical="center"/>
    </xf>
    <xf numFmtId="0" fontId="107" fillId="0" borderId="0" xfId="0" applyFont="1" applyFill="1" applyBorder="1" applyAlignment="1">
      <alignment horizontal="center" vertical="center" wrapText="1"/>
    </xf>
    <xf numFmtId="3" fontId="109" fillId="0" borderId="0" xfId="0" applyNumberFormat="1" applyFont="1" applyFill="1" applyBorder="1" applyAlignment="1" applyProtection="1">
      <alignment horizontal="center" vertical="center"/>
      <protection hidden="1"/>
    </xf>
    <xf numFmtId="37" fontId="110" fillId="0" borderId="0" xfId="0" applyNumberFormat="1" applyFont="1" applyFill="1" applyBorder="1" applyAlignment="1" applyProtection="1">
      <alignment horizontal="center" vertical="center"/>
      <protection hidden="1" locked="0"/>
    </xf>
    <xf numFmtId="0" fontId="111" fillId="0" borderId="0" xfId="0" applyFont="1" applyFill="1" applyBorder="1" applyAlignment="1" applyProtection="1">
      <alignment vertical="center" wrapText="1"/>
      <protection hidden="1"/>
    </xf>
    <xf numFmtId="0" fontId="109" fillId="0" borderId="0" xfId="0" applyFont="1" applyFill="1" applyBorder="1" applyAlignment="1" applyProtection="1">
      <alignment horizontal="center" vertical="center"/>
      <protection locked="0"/>
    </xf>
    <xf numFmtId="0" fontId="103" fillId="46" borderId="0" xfId="153" applyNumberFormat="1" applyFont="1" applyFill="1" applyBorder="1" applyAlignment="1" applyProtection="1">
      <alignment vertical="center"/>
      <protection/>
    </xf>
    <xf numFmtId="17" fontId="18" fillId="7" borderId="23" xfId="0" applyNumberFormat="1" applyFont="1" applyFill="1" applyBorder="1" applyAlignment="1">
      <alignment horizontal="left" vertical="center" wrapText="1"/>
    </xf>
    <xf numFmtId="3" fontId="47" fillId="56" borderId="20" xfId="0" applyNumberFormat="1" applyFont="1" applyFill="1" applyBorder="1" applyAlignment="1" applyProtection="1">
      <alignment horizontal="left" vertical="center"/>
      <protection locked="0"/>
    </xf>
    <xf numFmtId="0" fontId="21" fillId="46" borderId="0" xfId="0" applyFont="1" applyFill="1" applyAlignment="1">
      <alignment horizontal="center" vertical="center"/>
    </xf>
    <xf numFmtId="0" fontId="0" fillId="43" borderId="19" xfId="0" applyFill="1" applyBorder="1" applyAlignment="1">
      <alignment/>
    </xf>
    <xf numFmtId="0" fontId="0" fillId="46" borderId="19" xfId="0" applyFont="1" applyFill="1" applyBorder="1" applyAlignment="1">
      <alignment horizontal="center" vertical="center"/>
    </xf>
    <xf numFmtId="3" fontId="47" fillId="56" borderId="0" xfId="0" applyNumberFormat="1" applyFont="1" applyFill="1" applyAlignment="1" applyProtection="1">
      <alignment horizontal="left" vertical="center"/>
      <protection locked="0"/>
    </xf>
    <xf numFmtId="0" fontId="28" fillId="0" borderId="0" xfId="0" applyFont="1" applyFill="1" applyBorder="1" applyAlignment="1" applyProtection="1">
      <alignment vertical="center"/>
      <protection locked="0"/>
    </xf>
    <xf numFmtId="0" fontId="115" fillId="0" borderId="0" xfId="0" applyFont="1" applyAlignment="1">
      <alignment/>
    </xf>
    <xf numFmtId="0" fontId="0" fillId="0" borderId="19" xfId="0" applyFill="1" applyBorder="1" applyAlignment="1">
      <alignment/>
    </xf>
    <xf numFmtId="0" fontId="0" fillId="0" borderId="47" xfId="0" applyFill="1" applyBorder="1" applyAlignment="1">
      <alignment/>
    </xf>
    <xf numFmtId="0" fontId="95" fillId="11" borderId="19" xfId="0" applyFont="1" applyFill="1" applyBorder="1" applyAlignment="1">
      <alignment horizontal="center" vertical="center" shrinkToFit="1"/>
    </xf>
    <xf numFmtId="0" fontId="72" fillId="11" borderId="19" xfId="0" applyFont="1" applyFill="1" applyBorder="1" applyAlignment="1">
      <alignment horizontal="center" vertical="center" wrapText="1"/>
    </xf>
    <xf numFmtId="0" fontId="72" fillId="61" borderId="19" xfId="0" applyFont="1" applyFill="1" applyBorder="1" applyAlignment="1" applyProtection="1">
      <alignment horizontal="center" vertical="center" wrapText="1"/>
      <protection locked="0"/>
    </xf>
    <xf numFmtId="0" fontId="89" fillId="7" borderId="48" xfId="127" applyNumberFormat="1" applyFont="1" applyBorder="1" applyAlignment="1" applyProtection="1">
      <alignment horizontal="left" vertical="center" wrapText="1"/>
      <protection hidden="1"/>
    </xf>
    <xf numFmtId="0" fontId="119" fillId="7" borderId="37" xfId="0" applyFont="1" applyFill="1" applyBorder="1" applyAlignment="1">
      <alignment horizontal="left" vertical="center" wrapText="1"/>
    </xf>
    <xf numFmtId="1" fontId="120" fillId="56" borderId="49" xfId="0" applyNumberFormat="1" applyFont="1" applyFill="1" applyBorder="1" applyAlignment="1" applyProtection="1">
      <alignment horizontal="center" vertical="center"/>
      <protection/>
    </xf>
    <xf numFmtId="1" fontId="86" fillId="19" borderId="50" xfId="0" applyNumberFormat="1" applyFont="1" applyFill="1" applyBorder="1" applyAlignment="1" applyProtection="1">
      <alignment horizontal="center" vertical="center"/>
      <protection hidden="1"/>
    </xf>
    <xf numFmtId="0" fontId="95" fillId="7" borderId="20" xfId="0" applyFont="1" applyFill="1" applyBorder="1" applyAlignment="1">
      <alignment horizontal="center" vertical="center" wrapText="1"/>
    </xf>
    <xf numFmtId="1" fontId="98" fillId="56" borderId="20" xfId="0" applyNumberFormat="1" applyFont="1" applyFill="1" applyBorder="1" applyAlignment="1" applyProtection="1">
      <alignment vertical="center" wrapText="1"/>
      <protection locked="0"/>
    </xf>
    <xf numFmtId="0" fontId="72" fillId="0" borderId="0" xfId="0" applyFont="1" applyFill="1" applyBorder="1" applyAlignment="1">
      <alignment vertical="center"/>
    </xf>
    <xf numFmtId="0" fontId="121" fillId="7" borderId="51" xfId="0" applyFont="1" applyFill="1" applyBorder="1" applyAlignment="1">
      <alignment horizontal="left" vertical="center" wrapText="1"/>
    </xf>
    <xf numFmtId="0" fontId="0" fillId="0" borderId="52" xfId="0" applyBorder="1" applyAlignment="1">
      <alignment horizontal="left" vertical="center"/>
    </xf>
    <xf numFmtId="0" fontId="122" fillId="7" borderId="51" xfId="0" applyFont="1" applyFill="1" applyBorder="1" applyAlignment="1">
      <alignment horizontal="left" vertical="center" wrapText="1"/>
    </xf>
    <xf numFmtId="1" fontId="120" fillId="56" borderId="53" xfId="0" applyNumberFormat="1" applyFont="1" applyFill="1" applyBorder="1" applyAlignment="1" applyProtection="1">
      <alignment horizontal="center" vertical="center"/>
      <protection/>
    </xf>
    <xf numFmtId="1" fontId="86" fillId="19" borderId="54" xfId="0" applyNumberFormat="1" applyFont="1" applyFill="1" applyBorder="1" applyAlignment="1" applyProtection="1">
      <alignment horizontal="center" vertical="center"/>
      <protection hidden="1"/>
    </xf>
    <xf numFmtId="0" fontId="0" fillId="0" borderId="47" xfId="0" applyBorder="1" applyAlignment="1">
      <alignment/>
    </xf>
    <xf numFmtId="0" fontId="95" fillId="7" borderId="20" xfId="0" applyFont="1" applyFill="1" applyBorder="1" applyAlignment="1">
      <alignment horizontal="center" vertical="center"/>
    </xf>
    <xf numFmtId="1" fontId="98" fillId="56" borderId="20" xfId="0" applyNumberFormat="1" applyFont="1" applyFill="1" applyBorder="1" applyAlignment="1" applyProtection="1">
      <alignment vertical="center"/>
      <protection locked="0"/>
    </xf>
    <xf numFmtId="0" fontId="123" fillId="0" borderId="0" xfId="0" applyFont="1" applyAlignment="1">
      <alignment/>
    </xf>
    <xf numFmtId="0" fontId="0" fillId="0" borderId="21" xfId="0" applyBorder="1" applyAlignment="1">
      <alignment/>
    </xf>
    <xf numFmtId="0" fontId="0" fillId="0" borderId="37" xfId="0" applyBorder="1" applyAlignment="1">
      <alignment/>
    </xf>
    <xf numFmtId="0" fontId="0" fillId="0" borderId="29" xfId="0" applyBorder="1" applyAlignment="1">
      <alignment/>
    </xf>
    <xf numFmtId="0" fontId="95" fillId="37" borderId="20" xfId="0" applyFont="1" applyFill="1" applyBorder="1" applyAlignment="1">
      <alignment horizontal="center" vertical="center"/>
    </xf>
    <xf numFmtId="1" fontId="124" fillId="37" borderId="20" xfId="0" applyNumberFormat="1" applyFont="1" applyFill="1" applyBorder="1" applyAlignment="1">
      <alignment vertical="center"/>
    </xf>
    <xf numFmtId="0" fontId="21" fillId="0" borderId="0" xfId="0" applyFont="1" applyAlignment="1">
      <alignment horizontal="center" vertical="center"/>
    </xf>
    <xf numFmtId="0" fontId="21" fillId="0" borderId="0" xfId="0" applyFont="1" applyFill="1" applyBorder="1" applyAlignment="1" applyProtection="1">
      <alignment horizontal="center" vertical="center"/>
      <protection hidden="1"/>
    </xf>
    <xf numFmtId="0" fontId="21" fillId="0" borderId="29" xfId="0" applyFont="1" applyBorder="1" applyAlignment="1">
      <alignment/>
    </xf>
    <xf numFmtId="0" fontId="21" fillId="0" borderId="0" xfId="0" applyFont="1" applyAlignment="1">
      <alignment/>
    </xf>
    <xf numFmtId="0" fontId="21" fillId="55" borderId="0" xfId="0" applyFont="1" applyFill="1" applyBorder="1" applyAlignment="1" applyProtection="1">
      <alignment horizontal="center" vertical="center"/>
      <protection hidden="1"/>
    </xf>
    <xf numFmtId="0" fontId="125" fillId="55" borderId="0" xfId="0" applyFont="1" applyFill="1" applyBorder="1" applyAlignment="1" applyProtection="1">
      <alignment horizontal="center" vertical="center"/>
      <protection hidden="1"/>
    </xf>
    <xf numFmtId="0" fontId="21" fillId="0" borderId="0" xfId="0" applyFont="1" applyAlignment="1" applyProtection="1">
      <alignment/>
      <protection hidden="1"/>
    </xf>
    <xf numFmtId="0" fontId="21" fillId="0" borderId="48" xfId="0" applyFont="1" applyBorder="1" applyAlignment="1">
      <alignment/>
    </xf>
    <xf numFmtId="0" fontId="126" fillId="31" borderId="0" xfId="0" applyFont="1" applyFill="1" applyBorder="1" applyAlignment="1" applyProtection="1">
      <alignment vertical="center"/>
      <protection hidden="1"/>
    </xf>
    <xf numFmtId="0" fontId="127" fillId="61" borderId="44" xfId="0" applyFont="1" applyFill="1" applyBorder="1" applyAlignment="1" applyProtection="1">
      <alignment horizontal="center" vertical="center"/>
      <protection locked="0"/>
    </xf>
    <xf numFmtId="0" fontId="128" fillId="31"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129" fillId="7" borderId="23" xfId="127" applyNumberFormat="1" applyFont="1" applyFill="1" applyBorder="1" applyAlignment="1" applyProtection="1">
      <alignment vertical="center" wrapText="1"/>
      <protection hidden="1"/>
    </xf>
    <xf numFmtId="165" fontId="95" fillId="56" borderId="20" xfId="0" applyNumberFormat="1" applyFont="1" applyFill="1" applyBorder="1" applyAlignment="1" applyProtection="1">
      <alignment horizontal="center" vertical="center" wrapText="1"/>
      <protection locked="0"/>
    </xf>
    <xf numFmtId="0" fontId="130" fillId="62" borderId="55" xfId="0" applyFont="1" applyFill="1" applyBorder="1" applyAlignment="1">
      <alignment horizontal="center" vertical="center" wrapText="1"/>
    </xf>
    <xf numFmtId="0" fontId="0" fillId="55" borderId="0" xfId="0" applyFill="1" applyBorder="1" applyAlignment="1">
      <alignment horizontal="left" vertical="center"/>
    </xf>
    <xf numFmtId="0" fontId="131" fillId="7" borderId="23" xfId="0" applyFont="1" applyFill="1" applyBorder="1" applyAlignment="1" applyProtection="1">
      <alignment vertical="center" wrapText="1"/>
      <protection hidden="1"/>
    </xf>
    <xf numFmtId="0" fontId="130" fillId="62" borderId="56" xfId="0" applyFont="1" applyFill="1" applyBorder="1" applyAlignment="1">
      <alignment horizontal="center" vertical="center" wrapText="1"/>
    </xf>
    <xf numFmtId="0" fontId="0" fillId="0" borderId="0" xfId="0" applyBorder="1" applyAlignment="1">
      <alignment horizontal="left" vertical="center"/>
    </xf>
    <xf numFmtId="0" fontId="0" fillId="0" borderId="23" xfId="0" applyBorder="1" applyAlignment="1">
      <alignment horizontal="left" vertical="center" wrapText="1"/>
    </xf>
    <xf numFmtId="0" fontId="0" fillId="0" borderId="0" xfId="0" applyAlignment="1" applyProtection="1">
      <alignment/>
      <protection locked="0"/>
    </xf>
    <xf numFmtId="0" fontId="27" fillId="0" borderId="0" xfId="0" applyFont="1" applyFill="1" applyBorder="1" applyAlignment="1" applyProtection="1">
      <alignment vertical="center"/>
      <protection locked="0"/>
    </xf>
    <xf numFmtId="0" fontId="26"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111" fillId="0" borderId="0" xfId="0" applyFont="1" applyFill="1" applyBorder="1" applyAlignment="1" applyProtection="1">
      <alignment horizontal="center" vertical="center"/>
      <protection locked="0"/>
    </xf>
    <xf numFmtId="0" fontId="132" fillId="0" borderId="0" xfId="0" applyFont="1" applyFill="1" applyBorder="1" applyAlignment="1" applyProtection="1">
      <alignment horizontal="center" vertical="center"/>
      <protection locked="0"/>
    </xf>
    <xf numFmtId="0" fontId="132" fillId="0" borderId="0" xfId="0" applyFont="1" applyFill="1" applyBorder="1" applyAlignment="1" applyProtection="1">
      <alignment horizontal="center" vertical="center" wrapText="1"/>
      <protection locked="0"/>
    </xf>
    <xf numFmtId="0" fontId="133" fillId="0" borderId="0" xfId="0" applyFont="1" applyAlignment="1" applyProtection="1">
      <alignment horizontal="left" vertical="center"/>
      <protection locked="0"/>
    </xf>
    <xf numFmtId="0" fontId="134" fillId="0" borderId="0"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protection locked="0"/>
    </xf>
    <xf numFmtId="167" fontId="134" fillId="0" borderId="0" xfId="0" applyNumberFormat="1" applyFont="1" applyFill="1" applyBorder="1" applyAlignment="1" applyProtection="1">
      <alignment horizontal="left" vertical="center" wrapText="1"/>
      <protection locked="0"/>
    </xf>
    <xf numFmtId="0" fontId="0" fillId="0" borderId="0" xfId="0" applyBorder="1" applyAlignment="1" applyProtection="1">
      <alignment/>
      <protection locked="0"/>
    </xf>
    <xf numFmtId="0" fontId="0" fillId="0" borderId="0" xfId="0" applyFill="1" applyBorder="1" applyAlignment="1" applyProtection="1">
      <alignment/>
      <protection locked="0"/>
    </xf>
    <xf numFmtId="0" fontId="28"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167" fontId="0" fillId="0" borderId="0" xfId="0" applyNumberFormat="1" applyAlignment="1" applyProtection="1">
      <alignment/>
      <protection locked="0"/>
    </xf>
    <xf numFmtId="0" fontId="1" fillId="0" borderId="0" xfId="0" applyFont="1" applyFill="1" applyBorder="1" applyAlignment="1" applyProtection="1">
      <alignment horizontal="left" vertical="center"/>
      <protection locked="0"/>
    </xf>
    <xf numFmtId="3" fontId="0" fillId="0" borderId="0" xfId="0" applyNumberFormat="1" applyAlignment="1" applyProtection="1">
      <alignment/>
      <protection locked="0"/>
    </xf>
    <xf numFmtId="3" fontId="135" fillId="0" borderId="0" xfId="0" applyNumberFormat="1" applyFont="1" applyBorder="1" applyAlignment="1" applyProtection="1">
      <alignment vertical="center"/>
      <protection locked="0"/>
    </xf>
    <xf numFmtId="0" fontId="136" fillId="0" borderId="0" xfId="0" applyFont="1" applyFill="1" applyAlignment="1" applyProtection="1">
      <alignment/>
      <protection locked="0"/>
    </xf>
    <xf numFmtId="0" fontId="137" fillId="0" borderId="0" xfId="0" applyFont="1" applyFill="1" applyBorder="1" applyAlignment="1" applyProtection="1">
      <alignment horizontal="left" vertical="center"/>
      <protection locked="0"/>
    </xf>
    <xf numFmtId="3" fontId="136" fillId="0" borderId="0" xfId="0" applyNumberFormat="1" applyFont="1" applyFill="1" applyAlignment="1" applyProtection="1">
      <alignment/>
      <protection locked="0"/>
    </xf>
    <xf numFmtId="0" fontId="0" fillId="0" borderId="0" xfId="0" applyFill="1" applyBorder="1" applyAlignment="1" applyProtection="1">
      <alignment horizontal="left" vertical="center"/>
      <protection locked="0"/>
    </xf>
    <xf numFmtId="0" fontId="138" fillId="0" borderId="0" xfId="0" applyFont="1" applyFill="1" applyBorder="1" applyAlignment="1" applyProtection="1">
      <alignment vertical="center"/>
      <protection locked="0"/>
    </xf>
    <xf numFmtId="3" fontId="139" fillId="0" borderId="0" xfId="0" applyNumberFormat="1" applyFont="1" applyBorder="1" applyAlignment="1" applyProtection="1">
      <alignment vertical="center"/>
      <protection locked="0"/>
    </xf>
    <xf numFmtId="0" fontId="137" fillId="0" borderId="0" xfId="0" applyFont="1" applyFill="1" applyAlignment="1" applyProtection="1">
      <alignment horizontal="left" vertical="center"/>
      <protection locked="0"/>
    </xf>
    <xf numFmtId="0" fontId="0" fillId="0" borderId="0" xfId="0" applyBorder="1" applyAlignment="1" applyProtection="1">
      <alignment horizontal="left" vertical="center" wrapText="1"/>
      <protection locked="0"/>
    </xf>
    <xf numFmtId="0" fontId="28" fillId="0" borderId="0" xfId="0"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88" fillId="0" borderId="0" xfId="127" applyNumberFormat="1" applyFont="1" applyFill="1" applyBorder="1" applyAlignment="1" applyProtection="1">
      <alignment vertical="center"/>
      <protection locked="0"/>
    </xf>
    <xf numFmtId="0" fontId="24" fillId="0" borderId="0" xfId="0" applyFont="1" applyFill="1" applyBorder="1" applyAlignment="1" applyProtection="1">
      <alignment horizontal="left" vertical="center" wrapText="1"/>
      <protection locked="0"/>
    </xf>
    <xf numFmtId="0" fontId="138"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1" fillId="58" borderId="0" xfId="0" applyFont="1" applyFill="1" applyBorder="1" applyAlignment="1" applyProtection="1">
      <alignment vertical="center"/>
      <protection locked="0"/>
    </xf>
    <xf numFmtId="0" fontId="135" fillId="0" borderId="0" xfId="0" applyFont="1" applyBorder="1" applyAlignment="1" applyProtection="1">
      <alignment vertical="center"/>
      <protection locked="0"/>
    </xf>
    <xf numFmtId="168" fontId="0" fillId="0" borderId="0" xfId="0" applyNumberFormat="1" applyAlignment="1" applyProtection="1">
      <alignment/>
      <protection locked="0"/>
    </xf>
    <xf numFmtId="0" fontId="134" fillId="0" borderId="0" xfId="0" applyFont="1" applyFill="1" applyBorder="1" applyAlignment="1" applyProtection="1">
      <alignment horizontal="left" vertical="center"/>
      <protection locked="0"/>
    </xf>
    <xf numFmtId="0" fontId="0" fillId="0" borderId="0" xfId="0" applyFill="1" applyAlignment="1" applyProtection="1">
      <alignment/>
      <protection locked="0"/>
    </xf>
    <xf numFmtId="0" fontId="140" fillId="0" borderId="0" xfId="0" applyFont="1" applyFill="1" applyBorder="1" applyAlignment="1" applyProtection="1">
      <alignment horizontal="left" vertical="center" wrapText="1"/>
      <protection locked="0"/>
    </xf>
    <xf numFmtId="0" fontId="24" fillId="0" borderId="0" xfId="0" applyFont="1" applyFill="1" applyBorder="1" applyAlignment="1" applyProtection="1">
      <alignment vertical="center"/>
      <protection locked="0"/>
    </xf>
    <xf numFmtId="0" fontId="0" fillId="0" borderId="0" xfId="0" applyFill="1" applyBorder="1" applyAlignment="1" applyProtection="1">
      <alignment horizontal="left" vertical="center" wrapText="1"/>
      <protection locked="0"/>
    </xf>
    <xf numFmtId="0" fontId="27" fillId="0" borderId="0" xfId="0" applyFont="1" applyFill="1" applyBorder="1" applyAlignment="1" applyProtection="1">
      <alignment vertical="center" wrapText="1"/>
      <protection locked="0"/>
    </xf>
    <xf numFmtId="0" fontId="0" fillId="0" borderId="0" xfId="0" applyFont="1" applyAlignment="1" applyProtection="1">
      <alignment horizontal="right"/>
      <protection locked="0"/>
    </xf>
    <xf numFmtId="1" fontId="0" fillId="0" borderId="0" xfId="0" applyNumberFormat="1" applyFill="1" applyAlignment="1" applyProtection="1">
      <alignment horizontal="left" vertical="center"/>
      <protection locked="0"/>
    </xf>
    <xf numFmtId="3" fontId="0" fillId="0" borderId="0" xfId="0" applyNumberFormat="1" applyFill="1" applyAlignment="1" applyProtection="1">
      <alignment/>
      <protection locked="0"/>
    </xf>
    <xf numFmtId="3" fontId="121" fillId="0" borderId="0" xfId="0" applyNumberFormat="1" applyFont="1" applyFill="1" applyAlignment="1" applyProtection="1">
      <alignment/>
      <protection locked="0"/>
    </xf>
    <xf numFmtId="0" fontId="121" fillId="0" borderId="0" xfId="0" applyFont="1" applyFill="1" applyAlignment="1" applyProtection="1">
      <alignment/>
      <protection locked="0"/>
    </xf>
    <xf numFmtId="1" fontId="136" fillId="0" borderId="0" xfId="0" applyNumberFormat="1" applyFont="1" applyFill="1" applyAlignment="1" applyProtection="1">
      <alignment/>
      <protection locked="0"/>
    </xf>
    <xf numFmtId="0" fontId="123" fillId="0" borderId="0" xfId="0" applyFont="1" applyFill="1" applyAlignment="1" applyProtection="1">
      <alignment/>
      <protection locked="0"/>
    </xf>
    <xf numFmtId="168" fontId="0" fillId="0" borderId="0" xfId="0" applyNumberFormat="1" applyFill="1" applyAlignment="1" applyProtection="1">
      <alignment/>
      <protection locked="0"/>
    </xf>
    <xf numFmtId="3" fontId="0" fillId="0" borderId="0" xfId="0" applyNumberFormat="1" applyFill="1" applyAlignment="1" applyProtection="1">
      <alignment horizontal="center" vertical="center"/>
      <protection locked="0"/>
    </xf>
    <xf numFmtId="1" fontId="136" fillId="0" borderId="0" xfId="0" applyNumberFormat="1" applyFont="1" applyFill="1" applyBorder="1" applyAlignment="1" applyProtection="1">
      <alignment/>
      <protection locked="0"/>
    </xf>
    <xf numFmtId="168" fontId="141" fillId="0" borderId="0" xfId="0" applyNumberFormat="1" applyFont="1" applyFill="1" applyBorder="1" applyAlignment="1" applyProtection="1">
      <alignment vertical="center"/>
      <protection locked="0"/>
    </xf>
    <xf numFmtId="168" fontId="136" fillId="0" borderId="0" xfId="0" applyNumberFormat="1" applyFont="1" applyFill="1" applyBorder="1" applyAlignment="1" applyProtection="1">
      <alignment/>
      <protection locked="0"/>
    </xf>
    <xf numFmtId="3" fontId="135" fillId="0" borderId="0" xfId="0" applyNumberFormat="1" applyFont="1" applyFill="1" applyBorder="1" applyAlignment="1" applyProtection="1">
      <alignment vertical="center"/>
      <protection locked="0"/>
    </xf>
    <xf numFmtId="3" fontId="139" fillId="0" borderId="0" xfId="0" applyNumberFormat="1" applyFont="1" applyFill="1" applyBorder="1" applyAlignment="1" applyProtection="1">
      <alignment vertical="center"/>
      <protection locked="0"/>
    </xf>
    <xf numFmtId="168" fontId="136" fillId="0" borderId="0" xfId="0" applyNumberFormat="1" applyFont="1" applyFill="1" applyAlignment="1" applyProtection="1">
      <alignment/>
      <protection locked="0"/>
    </xf>
    <xf numFmtId="168" fontId="141" fillId="0" borderId="0" xfId="0" applyNumberFormat="1" applyFont="1" applyFill="1" applyBorder="1" applyAlignment="1" applyProtection="1">
      <alignment/>
      <protection locked="0"/>
    </xf>
    <xf numFmtId="0" fontId="136" fillId="0" borderId="0" xfId="0" applyFont="1" applyFill="1" applyBorder="1" applyAlignment="1" applyProtection="1">
      <alignment/>
      <protection locked="0"/>
    </xf>
    <xf numFmtId="3" fontId="141" fillId="0" borderId="0" xfId="0" applyNumberFormat="1" applyFont="1" applyBorder="1" applyAlignment="1" applyProtection="1">
      <alignment horizontal="right"/>
      <protection locked="0"/>
    </xf>
    <xf numFmtId="0" fontId="139" fillId="0" borderId="0" xfId="0" applyFont="1" applyBorder="1" applyAlignment="1" applyProtection="1">
      <alignment vertical="center"/>
      <protection locked="0"/>
    </xf>
    <xf numFmtId="3" fontId="0" fillId="58" borderId="0" xfId="0" applyNumberFormat="1" applyFill="1" applyAlignment="1" applyProtection="1">
      <alignment/>
      <protection locked="0"/>
    </xf>
    <xf numFmtId="0" fontId="142" fillId="0" borderId="0" xfId="0" applyFont="1" applyFill="1" applyBorder="1" applyAlignment="1" applyProtection="1">
      <alignment/>
      <protection locked="0"/>
    </xf>
    <xf numFmtId="0" fontId="136" fillId="0" borderId="0" xfId="0" applyFont="1" applyAlignment="1" applyProtection="1">
      <alignment/>
      <protection locked="0"/>
    </xf>
    <xf numFmtId="168" fontId="141" fillId="0" borderId="0" xfId="0" applyNumberFormat="1" applyFont="1" applyBorder="1" applyAlignment="1" applyProtection="1">
      <alignment vertical="center"/>
      <protection locked="0"/>
    </xf>
    <xf numFmtId="49" fontId="143" fillId="0" borderId="0" xfId="0" applyNumberFormat="1" applyFont="1" applyFill="1" applyBorder="1" applyAlignment="1" applyProtection="1">
      <alignment/>
      <protection locked="0"/>
    </xf>
    <xf numFmtId="0" fontId="135" fillId="0" borderId="0" xfId="0" applyFont="1" applyBorder="1" applyAlignment="1" applyProtection="1">
      <alignment horizontal="left"/>
      <protection locked="0"/>
    </xf>
    <xf numFmtId="0" fontId="0" fillId="58" borderId="0" xfId="0" applyFill="1" applyAlignment="1" applyProtection="1">
      <alignment/>
      <protection locked="0"/>
    </xf>
    <xf numFmtId="49" fontId="142" fillId="0" borderId="0" xfId="0" applyNumberFormat="1" applyFont="1" applyFill="1" applyBorder="1" applyAlignment="1" applyProtection="1">
      <alignment/>
      <protection locked="0"/>
    </xf>
    <xf numFmtId="0" fontId="94" fillId="0" borderId="0" xfId="0" applyFont="1" applyAlignment="1" applyProtection="1">
      <alignment/>
      <protection locked="0"/>
    </xf>
    <xf numFmtId="3" fontId="21" fillId="0" borderId="0" xfId="0" applyNumberFormat="1" applyFont="1" applyFill="1" applyAlignment="1" applyProtection="1">
      <alignment/>
      <protection locked="0"/>
    </xf>
    <xf numFmtId="3" fontId="123" fillId="58" borderId="0" xfId="0" applyNumberFormat="1" applyFont="1" applyFill="1" applyAlignment="1" applyProtection="1">
      <alignment/>
      <protection locked="0"/>
    </xf>
    <xf numFmtId="169" fontId="0" fillId="0" borderId="0" xfId="0" applyNumberFormat="1" applyAlignment="1" applyProtection="1">
      <alignment/>
      <protection locked="0"/>
    </xf>
    <xf numFmtId="0" fontId="0" fillId="5" borderId="0" xfId="0" applyFill="1" applyAlignment="1" applyProtection="1">
      <alignment/>
      <protection locked="0"/>
    </xf>
    <xf numFmtId="0" fontId="0" fillId="58" borderId="0" xfId="0" applyFont="1" applyFill="1" applyAlignment="1" applyProtection="1">
      <alignment horizontal="right"/>
      <protection locked="0"/>
    </xf>
    <xf numFmtId="49" fontId="0" fillId="0" borderId="0" xfId="0" applyNumberFormat="1" applyAlignment="1" applyProtection="1">
      <alignment/>
      <protection locked="0"/>
    </xf>
    <xf numFmtId="14" fontId="0" fillId="0" borderId="0" xfId="0" applyNumberFormat="1" applyAlignment="1" applyProtection="1">
      <alignment/>
      <protection locked="0"/>
    </xf>
    <xf numFmtId="9" fontId="0" fillId="0" borderId="0" xfId="0" applyNumberFormat="1" applyFont="1" applyAlignment="1" applyProtection="1">
      <alignment/>
      <protection locked="0"/>
    </xf>
    <xf numFmtId="1" fontId="0" fillId="0" borderId="0" xfId="0" applyNumberFormat="1" applyAlignment="1" applyProtection="1">
      <alignment/>
      <protection locked="0"/>
    </xf>
    <xf numFmtId="170" fontId="142" fillId="0" borderId="0" xfId="0" applyNumberFormat="1" applyFont="1" applyFill="1" applyBorder="1" applyAlignment="1" applyProtection="1">
      <alignment/>
      <protection locked="0"/>
    </xf>
    <xf numFmtId="0" fontId="0" fillId="0" borderId="0" xfId="0" applyNumberFormat="1" applyAlignment="1" applyProtection="1">
      <alignment/>
      <protection locked="0"/>
    </xf>
    <xf numFmtId="171" fontId="142" fillId="0" borderId="0" xfId="0" applyNumberFormat="1" applyFont="1" applyFill="1" applyBorder="1" applyAlignment="1" applyProtection="1">
      <alignment/>
      <protection locked="0"/>
    </xf>
    <xf numFmtId="0" fontId="0" fillId="0" borderId="0" xfId="0" applyFont="1" applyAlignment="1" applyProtection="1">
      <alignment horizontal="center"/>
      <protection locked="0"/>
    </xf>
    <xf numFmtId="0" fontId="0" fillId="48" borderId="20" xfId="0" applyFill="1" applyBorder="1" applyAlignment="1" applyProtection="1">
      <alignment/>
      <protection locked="0"/>
    </xf>
    <xf numFmtId="0" fontId="0" fillId="23" borderId="0" xfId="0" applyFill="1" applyAlignment="1" applyProtection="1">
      <alignment/>
      <protection locked="0"/>
    </xf>
    <xf numFmtId="172" fontId="0" fillId="0" borderId="0" xfId="0" applyNumberFormat="1" applyAlignment="1" applyProtection="1">
      <alignment/>
      <protection locked="0"/>
    </xf>
    <xf numFmtId="165" fontId="0" fillId="0" borderId="0" xfId="0" applyNumberFormat="1" applyAlignment="1" applyProtection="1">
      <alignment/>
      <protection locked="0"/>
    </xf>
    <xf numFmtId="0" fontId="21" fillId="0" borderId="0" xfId="0" applyFont="1" applyFill="1" applyBorder="1" applyAlignment="1" applyProtection="1">
      <alignment/>
      <protection locked="0"/>
    </xf>
    <xf numFmtId="0" fontId="21" fillId="0" borderId="0" xfId="0" applyFont="1" applyFill="1" applyAlignment="1" applyProtection="1">
      <alignment/>
      <protection locked="0"/>
    </xf>
    <xf numFmtId="0" fontId="144" fillId="0" borderId="0" xfId="167" applyFont="1" applyFill="1" applyBorder="1" applyAlignment="1" applyProtection="1">
      <alignment horizontal="center" vertical="center" wrapText="1"/>
      <protection locked="0"/>
    </xf>
    <xf numFmtId="0" fontId="145" fillId="0" borderId="0" xfId="167" applyFont="1" applyFill="1" applyBorder="1" applyAlignment="1" applyProtection="1">
      <alignment horizontal="center" vertical="center" wrapText="1"/>
      <protection locked="0"/>
    </xf>
    <xf numFmtId="0" fontId="146" fillId="58" borderId="0" xfId="0" applyFont="1" applyFill="1" applyAlignment="1" applyProtection="1">
      <alignment horizontal="center"/>
      <protection locked="0"/>
    </xf>
    <xf numFmtId="0" fontId="0"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47" fillId="0" borderId="0" xfId="0" applyFont="1" applyAlignment="1" applyProtection="1">
      <alignment horizontal="center" vertical="top" wrapText="1"/>
      <protection locked="0"/>
    </xf>
    <xf numFmtId="0" fontId="147" fillId="0" borderId="0" xfId="0" applyFont="1" applyAlignment="1" applyProtection="1">
      <alignment wrapText="1"/>
      <protection locked="0"/>
    </xf>
    <xf numFmtId="0" fontId="0" fillId="0" borderId="0" xfId="0" applyAlignment="1" applyProtection="1">
      <alignment wrapText="1"/>
      <protection locked="0"/>
    </xf>
    <xf numFmtId="165" fontId="21" fillId="0" borderId="0" xfId="0" applyNumberFormat="1" applyFont="1" applyFill="1" applyAlignment="1" applyProtection="1">
      <alignment/>
      <protection locked="0"/>
    </xf>
    <xf numFmtId="0" fontId="21" fillId="58" borderId="0" xfId="0" applyFont="1" applyFill="1" applyAlignment="1" applyProtection="1">
      <alignment/>
      <protection locked="0"/>
    </xf>
    <xf numFmtId="0" fontId="0" fillId="0" borderId="20" xfId="0" applyBorder="1" applyAlignment="1" applyProtection="1">
      <alignment/>
      <protection locked="0"/>
    </xf>
    <xf numFmtId="0" fontId="0" fillId="46" borderId="20" xfId="0" applyFill="1" applyBorder="1" applyAlignment="1" applyProtection="1">
      <alignment/>
      <protection locked="0"/>
    </xf>
    <xf numFmtId="0" fontId="147" fillId="0" borderId="0" xfId="0" applyFont="1" applyAlignment="1" applyProtection="1">
      <alignment horizontal="center" vertical="center" wrapText="1"/>
      <protection locked="0"/>
    </xf>
    <xf numFmtId="0" fontId="0" fillId="0" borderId="0" xfId="0" applyFont="1" applyAlignment="1" applyProtection="1">
      <alignment horizontal="center" vertical="center" wrapText="1"/>
      <protection locked="0"/>
    </xf>
    <xf numFmtId="0" fontId="0" fillId="46" borderId="0" xfId="0" applyFill="1" applyAlignment="1" applyProtection="1">
      <alignment/>
      <protection locked="0"/>
    </xf>
    <xf numFmtId="165" fontId="0" fillId="0" borderId="0" xfId="0" applyNumberFormat="1" applyFill="1" applyAlignment="1" applyProtection="1">
      <alignment/>
      <protection locked="0"/>
    </xf>
    <xf numFmtId="0" fontId="123" fillId="58" borderId="0" xfId="0" applyFont="1" applyFill="1" applyAlignment="1" applyProtection="1">
      <alignment/>
      <protection locked="0"/>
    </xf>
    <xf numFmtId="0" fontId="0" fillId="58" borderId="20" xfId="0" applyFill="1" applyBorder="1" applyAlignment="1" applyProtection="1">
      <alignment/>
      <protection locked="0"/>
    </xf>
    <xf numFmtId="0" fontId="147" fillId="58" borderId="20" xfId="0" applyFont="1" applyFill="1" applyBorder="1" applyAlignment="1" applyProtection="1">
      <alignment wrapText="1"/>
      <protection locked="0"/>
    </xf>
    <xf numFmtId="0" fontId="0" fillId="23" borderId="20" xfId="0" applyFill="1" applyBorder="1" applyAlignment="1" applyProtection="1">
      <alignment/>
      <protection locked="0"/>
    </xf>
    <xf numFmtId="0" fontId="0" fillId="58" borderId="0" xfId="0" applyFont="1" applyFill="1" applyAlignment="1" applyProtection="1">
      <alignment/>
      <protection locked="0"/>
    </xf>
    <xf numFmtId="0" fontId="0" fillId="48" borderId="0" xfId="0" applyFont="1" applyFill="1" applyAlignment="1" applyProtection="1">
      <alignment/>
      <protection locked="0"/>
    </xf>
    <xf numFmtId="0" fontId="21" fillId="37" borderId="0" xfId="0" applyFont="1" applyFill="1" applyAlignment="1" applyProtection="1">
      <alignment/>
      <protection locked="0"/>
    </xf>
    <xf numFmtId="0" fontId="21" fillId="37" borderId="20" xfId="0" applyFont="1" applyFill="1" applyBorder="1" applyAlignment="1" applyProtection="1">
      <alignment/>
      <protection locked="0"/>
    </xf>
    <xf numFmtId="0" fontId="21" fillId="46" borderId="20" xfId="0" applyFont="1" applyFill="1" applyBorder="1" applyAlignment="1" applyProtection="1">
      <alignment/>
      <protection locked="0"/>
    </xf>
    <xf numFmtId="0" fontId="123" fillId="0" borderId="0" xfId="0" applyFont="1" applyAlignment="1" applyProtection="1">
      <alignment/>
      <protection locked="0"/>
    </xf>
    <xf numFmtId="172" fontId="0" fillId="58" borderId="0" xfId="0" applyNumberFormat="1" applyFill="1" applyAlignment="1" applyProtection="1">
      <alignment/>
      <protection locked="0"/>
    </xf>
    <xf numFmtId="171" fontId="0" fillId="0" borderId="0" xfId="0" applyNumberFormat="1" applyAlignment="1" applyProtection="1">
      <alignment/>
      <protection locked="0"/>
    </xf>
    <xf numFmtId="168" fontId="109" fillId="0" borderId="0" xfId="0" applyNumberFormat="1" applyFont="1" applyBorder="1" applyAlignment="1" applyProtection="1">
      <alignment horizontal="center" vertical="center"/>
      <protection locked="0"/>
    </xf>
    <xf numFmtId="168" fontId="148" fillId="0" borderId="0" xfId="0" applyNumberFormat="1" applyFont="1" applyBorder="1" applyAlignment="1" applyProtection="1">
      <alignment horizontal="center" vertical="center"/>
      <protection locked="0"/>
    </xf>
    <xf numFmtId="168" fontId="0" fillId="0" borderId="0" xfId="0" applyNumberFormat="1" applyBorder="1" applyAlignment="1" applyProtection="1">
      <alignment/>
      <protection locked="0"/>
    </xf>
    <xf numFmtId="0" fontId="136" fillId="0" borderId="0" xfId="0" applyFont="1" applyBorder="1" applyAlignment="1" applyProtection="1">
      <alignment/>
      <protection locked="0"/>
    </xf>
    <xf numFmtId="0" fontId="0" fillId="0" borderId="0" xfId="0" applyFont="1" applyAlignment="1" applyProtection="1">
      <alignment/>
      <protection locked="0"/>
    </xf>
    <xf numFmtId="1" fontId="136" fillId="0" borderId="0" xfId="0" applyNumberFormat="1" applyFont="1" applyBorder="1" applyAlignment="1" applyProtection="1">
      <alignment/>
      <protection locked="0"/>
    </xf>
    <xf numFmtId="168" fontId="136" fillId="0" borderId="0" xfId="0" applyNumberFormat="1" applyFont="1" applyAlignment="1" applyProtection="1">
      <alignment/>
      <protection locked="0"/>
    </xf>
    <xf numFmtId="3" fontId="136" fillId="0" borderId="0" xfId="0" applyNumberFormat="1" applyFont="1" applyAlignment="1" applyProtection="1">
      <alignment/>
      <protection locked="0"/>
    </xf>
    <xf numFmtId="1" fontId="136" fillId="0" borderId="0" xfId="0" applyNumberFormat="1" applyFont="1" applyAlignment="1" applyProtection="1">
      <alignment/>
      <protection locked="0"/>
    </xf>
    <xf numFmtId="0" fontId="71" fillId="0" borderId="0" xfId="0" applyFont="1" applyAlignment="1" applyProtection="1">
      <alignment/>
      <protection locked="0"/>
    </xf>
    <xf numFmtId="0" fontId="150" fillId="0" borderId="0" xfId="0" applyFont="1" applyAlignment="1" applyProtection="1">
      <alignment vertical="center"/>
      <protection hidden="1"/>
    </xf>
    <xf numFmtId="0" fontId="150" fillId="0" borderId="0" xfId="0" applyFont="1" applyAlignment="1" applyProtection="1">
      <alignment horizontal="center" vertical="center"/>
      <protection hidden="1"/>
    </xf>
    <xf numFmtId="0" fontId="136" fillId="0" borderId="0" xfId="0" applyFont="1" applyFill="1" applyAlignment="1" applyProtection="1">
      <alignment vertical="center"/>
      <protection hidden="1"/>
    </xf>
    <xf numFmtId="0" fontId="150" fillId="0" borderId="29" xfId="0" applyFont="1" applyBorder="1" applyAlignment="1" applyProtection="1">
      <alignment vertical="center"/>
      <protection hidden="1" locked="0"/>
    </xf>
    <xf numFmtId="0" fontId="150" fillId="0" borderId="0" xfId="0" applyFont="1" applyBorder="1" applyAlignment="1" applyProtection="1">
      <alignment vertical="center"/>
      <protection hidden="1" locked="0"/>
    </xf>
    <xf numFmtId="0" fontId="150" fillId="0" borderId="0" xfId="0" applyFont="1" applyBorder="1" applyAlignment="1" applyProtection="1">
      <alignment horizontal="center" vertical="center"/>
      <protection hidden="1" locked="0"/>
    </xf>
    <xf numFmtId="0" fontId="83" fillId="0" borderId="20" xfId="0" applyFont="1" applyBorder="1" applyAlignment="1" applyProtection="1">
      <alignment horizontal="center" vertical="center" wrapText="1"/>
      <protection locked="0"/>
    </xf>
    <xf numFmtId="0" fontId="47" fillId="0" borderId="20" xfId="0" applyFont="1" applyBorder="1" applyAlignment="1" applyProtection="1">
      <alignment horizontal="center" vertical="center" wrapText="1"/>
      <protection locked="0"/>
    </xf>
    <xf numFmtId="0" fontId="153" fillId="0" borderId="20" xfId="0" applyFont="1" applyBorder="1" applyAlignment="1" applyProtection="1">
      <alignment horizontal="center" vertical="center" wrapText="1"/>
      <protection locked="0"/>
    </xf>
    <xf numFmtId="0" fontId="150" fillId="0" borderId="20" xfId="0" applyFont="1" applyBorder="1" applyAlignment="1" applyProtection="1">
      <alignment horizontal="center" vertical="center" wrapText="1"/>
      <protection locked="0"/>
    </xf>
    <xf numFmtId="0" fontId="154" fillId="0" borderId="20" xfId="0" applyFont="1" applyBorder="1" applyAlignment="1" applyProtection="1">
      <alignment horizontal="center" vertical="center" wrapText="1"/>
      <protection locked="0"/>
    </xf>
    <xf numFmtId="0" fontId="136" fillId="0" borderId="0" xfId="0" applyFont="1" applyFill="1" applyAlignment="1" applyProtection="1">
      <alignment horizontal="center" vertical="center" wrapText="1"/>
      <protection hidden="1"/>
    </xf>
    <xf numFmtId="0" fontId="150" fillId="0" borderId="0" xfId="0" applyFont="1" applyAlignment="1" applyProtection="1">
      <alignment horizontal="center" vertical="center" wrapText="1"/>
      <protection hidden="1"/>
    </xf>
    <xf numFmtId="0" fontId="74" fillId="0" borderId="20" xfId="0" applyFont="1" applyBorder="1" applyAlignment="1" applyProtection="1">
      <alignment horizontal="center" vertical="center"/>
      <protection locked="0"/>
    </xf>
    <xf numFmtId="17" fontId="155" fillId="0" borderId="20" xfId="0" applyNumberFormat="1" applyFont="1" applyBorder="1" applyAlignment="1" applyProtection="1">
      <alignment horizontal="left" vertical="center"/>
      <protection hidden="1" locked="0"/>
    </xf>
    <xf numFmtId="1" fontId="74" fillId="0" borderId="20" xfId="0" applyNumberFormat="1" applyFont="1" applyBorder="1" applyAlignment="1" applyProtection="1">
      <alignment horizontal="center" vertical="center"/>
      <protection hidden="1" locked="0"/>
    </xf>
    <xf numFmtId="1" fontId="100" fillId="0" borderId="20" xfId="0" applyNumberFormat="1" applyFont="1" applyBorder="1" applyAlignment="1" applyProtection="1">
      <alignment horizontal="center" vertical="center" wrapText="1"/>
      <protection hidden="1" locked="0"/>
    </xf>
    <xf numFmtId="1" fontId="100" fillId="0" borderId="20" xfId="0" applyNumberFormat="1" applyFont="1" applyBorder="1" applyAlignment="1" applyProtection="1">
      <alignment horizontal="center" vertical="center"/>
      <protection hidden="1" locked="0"/>
    </xf>
    <xf numFmtId="165" fontId="74" fillId="0" borderId="20" xfId="0" applyNumberFormat="1" applyFont="1" applyBorder="1" applyAlignment="1" applyProtection="1">
      <alignment horizontal="center" vertical="center"/>
      <protection hidden="1" locked="0"/>
    </xf>
    <xf numFmtId="164" fontId="74" fillId="0" borderId="20" xfId="0" applyNumberFormat="1" applyFont="1" applyBorder="1" applyAlignment="1" applyProtection="1">
      <alignment horizontal="center" vertical="center"/>
      <protection hidden="1" locked="0"/>
    </xf>
    <xf numFmtId="0" fontId="156" fillId="0" borderId="20" xfId="0" applyFont="1" applyBorder="1" applyAlignment="1" applyProtection="1">
      <alignment horizontal="center" vertical="center" wrapText="1"/>
      <protection hidden="1" locked="0"/>
    </xf>
    <xf numFmtId="0" fontId="157" fillId="0" borderId="0" xfId="0" applyFont="1" applyFill="1" applyAlignment="1" applyProtection="1">
      <alignment horizontal="center" vertical="center"/>
      <protection hidden="1"/>
    </xf>
    <xf numFmtId="0" fontId="74" fillId="0" borderId="26" xfId="0" applyFont="1" applyBorder="1" applyAlignment="1" applyProtection="1">
      <alignment horizontal="center" vertical="center"/>
      <protection locked="0"/>
    </xf>
    <xf numFmtId="0" fontId="74" fillId="0" borderId="28" xfId="0" applyFont="1" applyBorder="1" applyAlignment="1" applyProtection="1">
      <alignment horizontal="center" vertical="center"/>
      <protection locked="0"/>
    </xf>
    <xf numFmtId="1" fontId="74" fillId="0" borderId="20" xfId="0" applyNumberFormat="1" applyFont="1" applyBorder="1" applyAlignment="1" applyProtection="1">
      <alignment horizontal="center" vertical="center" wrapText="1"/>
      <protection hidden="1" locked="0"/>
    </xf>
    <xf numFmtId="0" fontId="74" fillId="0" borderId="29" xfId="0" applyFont="1" applyBorder="1" applyAlignment="1" applyProtection="1">
      <alignment horizontal="center" vertical="center"/>
      <protection locked="0"/>
    </xf>
    <xf numFmtId="0" fontId="74" fillId="0" borderId="47" xfId="0" applyFont="1" applyBorder="1" applyAlignment="1" applyProtection="1">
      <alignment horizontal="center" vertical="center"/>
      <protection locked="0"/>
    </xf>
    <xf numFmtId="1" fontId="74" fillId="0" borderId="20" xfId="0" applyNumberFormat="1" applyFont="1" applyBorder="1" applyAlignment="1" applyProtection="1">
      <alignment horizontal="center" vertical="center"/>
      <protection locked="0"/>
    </xf>
    <xf numFmtId="173" fontId="155" fillId="0" borderId="20" xfId="0" applyNumberFormat="1" applyFont="1" applyBorder="1" applyAlignment="1" applyProtection="1">
      <alignment horizontal="right" vertical="center"/>
      <protection hidden="1" locked="0"/>
    </xf>
    <xf numFmtId="0" fontId="0" fillId="0" borderId="48" xfId="0" applyFont="1" applyBorder="1" applyAlignment="1" applyProtection="1">
      <alignment horizontal="center" vertical="center"/>
      <protection locked="0"/>
    </xf>
    <xf numFmtId="0" fontId="74" fillId="0" borderId="57" xfId="0" applyFont="1" applyBorder="1" applyAlignment="1" applyProtection="1">
      <alignment horizontal="center" vertical="center"/>
      <protection locked="0"/>
    </xf>
    <xf numFmtId="0" fontId="0" fillId="0" borderId="57" xfId="0" applyFont="1" applyBorder="1" applyAlignment="1" applyProtection="1">
      <alignment horizontal="center" vertical="center"/>
      <protection locked="0"/>
    </xf>
    <xf numFmtId="0" fontId="150" fillId="0" borderId="0" xfId="0" applyFont="1" applyAlignment="1" applyProtection="1">
      <alignment vertical="center"/>
      <protection hidden="1" locked="0"/>
    </xf>
    <xf numFmtId="0" fontId="150" fillId="0" borderId="0" xfId="0" applyFont="1" applyAlignment="1" applyProtection="1">
      <alignment horizontal="center" vertical="center"/>
      <protection hidden="1" locked="0"/>
    </xf>
    <xf numFmtId="0" fontId="150" fillId="0" borderId="27" xfId="0" applyFont="1" applyBorder="1" applyAlignment="1" applyProtection="1">
      <alignment horizontal="center" vertical="center"/>
      <protection hidden="1" locked="0"/>
    </xf>
    <xf numFmtId="0" fontId="0" fillId="0" borderId="27" xfId="0" applyBorder="1" applyAlignment="1" applyProtection="1">
      <alignment horizontal="center" vertical="center"/>
      <protection hidden="1" locked="0"/>
    </xf>
    <xf numFmtId="0" fontId="0" fillId="0" borderId="0" xfId="0" applyBorder="1" applyAlignment="1" applyProtection="1">
      <alignment horizontal="center" vertical="center"/>
      <protection hidden="1" locked="0"/>
    </xf>
    <xf numFmtId="0" fontId="150" fillId="0" borderId="0" xfId="0" applyFont="1" applyBorder="1" applyAlignment="1" applyProtection="1">
      <alignment vertical="center"/>
      <protection hidden="1"/>
    </xf>
    <xf numFmtId="0" fontId="150" fillId="0" borderId="0" xfId="0" applyFont="1" applyBorder="1" applyAlignment="1" applyProtection="1">
      <alignment horizontal="center" vertical="center"/>
      <protection hidden="1"/>
    </xf>
    <xf numFmtId="0" fontId="157" fillId="0" borderId="0" xfId="0" applyFont="1" applyFill="1" applyBorder="1" applyAlignment="1" applyProtection="1">
      <alignment vertical="center"/>
      <protection hidden="1"/>
    </xf>
    <xf numFmtId="0" fontId="136" fillId="0" borderId="0" xfId="0" applyFont="1" applyAlignment="1">
      <alignment/>
    </xf>
    <xf numFmtId="0" fontId="141" fillId="0" borderId="0" xfId="0" applyFont="1" applyAlignment="1">
      <alignment/>
    </xf>
    <xf numFmtId="0" fontId="141" fillId="0" borderId="0" xfId="0" applyFont="1" applyAlignment="1" applyProtection="1">
      <alignment/>
      <protection locked="0"/>
    </xf>
    <xf numFmtId="0" fontId="139" fillId="0" borderId="58" xfId="0" applyFont="1" applyBorder="1" applyAlignment="1" applyProtection="1">
      <alignment horizontal="center"/>
      <protection hidden="1" locked="0"/>
    </xf>
    <xf numFmtId="0" fontId="136" fillId="0" borderId="0" xfId="0" applyFont="1" applyBorder="1" applyAlignment="1">
      <alignment horizontal="center"/>
    </xf>
    <xf numFmtId="0" fontId="141" fillId="0" borderId="59" xfId="0" applyFont="1" applyBorder="1" applyAlignment="1" applyProtection="1">
      <alignment horizontal="center" vertical="top"/>
      <protection hidden="1" locked="0"/>
    </xf>
    <xf numFmtId="0" fontId="141" fillId="0" borderId="0" xfId="0" applyFont="1" applyBorder="1" applyAlignment="1">
      <alignment horizontal="center" vertical="top"/>
    </xf>
    <xf numFmtId="1" fontId="161" fillId="0" borderId="60" xfId="0" applyNumberFormat="1" applyFont="1" applyBorder="1" applyAlignment="1" applyProtection="1">
      <alignment vertical="center"/>
      <protection hidden="1" locked="0"/>
    </xf>
    <xf numFmtId="1" fontId="161" fillId="0" borderId="27" xfId="0" applyNumberFormat="1" applyFont="1" applyBorder="1" applyAlignment="1" applyProtection="1">
      <alignment vertical="center"/>
      <protection hidden="1" locked="0"/>
    </xf>
    <xf numFmtId="1" fontId="141" fillId="0" borderId="27" xfId="0" applyNumberFormat="1" applyFont="1" applyBorder="1" applyAlignment="1" applyProtection="1">
      <alignment vertical="center"/>
      <protection hidden="1" locked="0"/>
    </xf>
    <xf numFmtId="0" fontId="141" fillId="0" borderId="27" xfId="0" applyFont="1" applyBorder="1" applyAlignment="1" applyProtection="1">
      <alignment vertical="center"/>
      <protection hidden="1" locked="0"/>
    </xf>
    <xf numFmtId="0" fontId="136" fillId="0" borderId="0" xfId="0" applyFont="1" applyBorder="1" applyAlignment="1">
      <alignment horizontal="left" vertical="center"/>
    </xf>
    <xf numFmtId="0" fontId="131" fillId="0" borderId="61" xfId="0" applyFont="1" applyBorder="1" applyAlignment="1" applyProtection="1">
      <alignment horizontal="center" vertical="center"/>
      <protection hidden="1"/>
    </xf>
    <xf numFmtId="0" fontId="135" fillId="0" borderId="0" xfId="0" applyFont="1" applyBorder="1" applyAlignment="1">
      <alignment horizontal="center"/>
    </xf>
    <xf numFmtId="0" fontId="141" fillId="0" borderId="62" xfId="0" applyFont="1" applyBorder="1" applyAlignment="1" applyProtection="1">
      <alignment horizontal="center" vertical="center"/>
      <protection hidden="1"/>
    </xf>
    <xf numFmtId="0" fontId="141" fillId="0" borderId="63" xfId="0" applyFont="1" applyBorder="1" applyAlignment="1" applyProtection="1">
      <alignment horizontal="center" vertical="center"/>
      <protection hidden="1"/>
    </xf>
    <xf numFmtId="174" fontId="141" fillId="0" borderId="64" xfId="0" applyNumberFormat="1" applyFont="1" applyBorder="1" applyAlignment="1" applyProtection="1">
      <alignment vertical="center"/>
      <protection hidden="1"/>
    </xf>
    <xf numFmtId="174" fontId="141" fillId="0" borderId="65" xfId="0" applyNumberFormat="1" applyFont="1" applyBorder="1" applyAlignment="1" applyProtection="1">
      <alignment vertical="center"/>
      <protection hidden="1"/>
    </xf>
    <xf numFmtId="3" fontId="139" fillId="0" borderId="0" xfId="0" applyNumberFormat="1" applyFont="1" applyBorder="1" applyAlignment="1">
      <alignment/>
    </xf>
    <xf numFmtId="0" fontId="141" fillId="0" borderId="29" xfId="0" applyFont="1" applyBorder="1" applyAlignment="1" applyProtection="1">
      <alignment horizontal="center" vertical="center"/>
      <protection hidden="1"/>
    </xf>
    <xf numFmtId="0" fontId="141" fillId="0" borderId="0" xfId="0" applyFont="1" applyBorder="1" applyAlignment="1" applyProtection="1">
      <alignment horizontal="center" vertical="center"/>
      <protection hidden="1"/>
    </xf>
    <xf numFmtId="174" fontId="141" fillId="0" borderId="47" xfId="0" applyNumberFormat="1" applyFont="1" applyBorder="1" applyAlignment="1" applyProtection="1">
      <alignment vertical="center"/>
      <protection hidden="1"/>
    </xf>
    <xf numFmtId="3" fontId="135" fillId="0" borderId="0" xfId="0" applyNumberFormat="1" applyFont="1" applyBorder="1" applyAlignment="1">
      <alignment/>
    </xf>
    <xf numFmtId="0" fontId="136" fillId="0" borderId="29" xfId="0" applyFont="1" applyBorder="1" applyAlignment="1" applyProtection="1">
      <alignment horizontal="center" vertical="center"/>
      <protection hidden="1"/>
    </xf>
    <xf numFmtId="0" fontId="136" fillId="0" borderId="0" xfId="0" applyFont="1" applyBorder="1" applyAlignment="1" applyProtection="1">
      <alignment horizontal="left" vertical="center"/>
      <protection hidden="1"/>
    </xf>
    <xf numFmtId="0" fontId="141" fillId="0" borderId="66" xfId="0" applyFont="1" applyBorder="1" applyAlignment="1" applyProtection="1">
      <alignment horizontal="center" vertical="center"/>
      <protection hidden="1"/>
    </xf>
    <xf numFmtId="0" fontId="141" fillId="0" borderId="35" xfId="0" applyFont="1" applyBorder="1" applyAlignment="1" applyProtection="1">
      <alignment horizontal="center" vertical="center"/>
      <protection hidden="1"/>
    </xf>
    <xf numFmtId="174" fontId="141" fillId="0" borderId="67" xfId="0" applyNumberFormat="1" applyFont="1" applyBorder="1" applyAlignment="1" applyProtection="1">
      <alignment vertical="center"/>
      <protection hidden="1"/>
    </xf>
    <xf numFmtId="174" fontId="141" fillId="0" borderId="67" xfId="0" applyNumberFormat="1" applyFont="1" applyBorder="1" applyAlignment="1" applyProtection="1">
      <alignment horizontal="right" vertical="center"/>
      <protection hidden="1"/>
    </xf>
    <xf numFmtId="174" fontId="141" fillId="0" borderId="68" xfId="0" applyNumberFormat="1" applyFont="1" applyBorder="1" applyAlignment="1" applyProtection="1">
      <alignment horizontal="right" vertical="center"/>
      <protection hidden="1"/>
    </xf>
    <xf numFmtId="175" fontId="136" fillId="0" borderId="0" xfId="0" applyNumberFormat="1" applyFont="1" applyAlignment="1" applyProtection="1">
      <alignment horizontal="right"/>
      <protection hidden="1"/>
    </xf>
    <xf numFmtId="0" fontId="136" fillId="0" borderId="0" xfId="0" applyFont="1" applyAlignment="1" applyProtection="1">
      <alignment/>
      <protection hidden="1"/>
    </xf>
    <xf numFmtId="0" fontId="136" fillId="0" borderId="0" xfId="0" applyFont="1" applyAlignment="1" applyProtection="1">
      <alignment horizontal="right"/>
      <protection hidden="1"/>
    </xf>
    <xf numFmtId="0" fontId="136" fillId="0" borderId="0" xfId="0" applyFont="1" applyFill="1" applyBorder="1" applyAlignment="1" applyProtection="1">
      <alignment horizontal="left" vertical="center"/>
      <protection hidden="1"/>
    </xf>
    <xf numFmtId="174" fontId="141" fillId="0" borderId="68" xfId="0" applyNumberFormat="1" applyFont="1" applyBorder="1" applyAlignment="1" applyProtection="1">
      <alignment vertical="center"/>
      <protection hidden="1"/>
    </xf>
    <xf numFmtId="0" fontId="136" fillId="0" borderId="29" xfId="0" applyFont="1" applyBorder="1" applyAlignment="1" applyProtection="1">
      <alignment horizontal="left" vertical="center"/>
      <protection hidden="1"/>
    </xf>
    <xf numFmtId="168" fontId="141" fillId="0" borderId="67" xfId="0" applyNumberFormat="1" applyFont="1" applyBorder="1" applyAlignment="1" applyProtection="1">
      <alignment vertical="center"/>
      <protection hidden="1"/>
    </xf>
    <xf numFmtId="174" fontId="141" fillId="0" borderId="65" xfId="0" applyNumberFormat="1" applyFont="1" applyBorder="1" applyAlignment="1" applyProtection="1">
      <alignment horizontal="right" vertical="center"/>
      <protection hidden="1"/>
    </xf>
    <xf numFmtId="174" fontId="141" fillId="0" borderId="69" xfId="0" applyNumberFormat="1" applyFont="1" applyBorder="1" applyAlignment="1" applyProtection="1">
      <alignment horizontal="right" vertical="center"/>
      <protection hidden="1"/>
    </xf>
    <xf numFmtId="0" fontId="162" fillId="0" borderId="48" xfId="0" applyFont="1" applyBorder="1" applyAlignment="1" applyProtection="1">
      <alignment horizontal="center" vertical="center"/>
      <protection hidden="1"/>
    </xf>
    <xf numFmtId="0" fontId="141" fillId="0" borderId="42" xfId="0" applyFont="1" applyBorder="1" applyAlignment="1" applyProtection="1">
      <alignment horizontal="center" vertical="center"/>
      <protection hidden="1"/>
    </xf>
    <xf numFmtId="174" fontId="141" fillId="0" borderId="57" xfId="0" applyNumberFormat="1" applyFont="1" applyBorder="1" applyAlignment="1" applyProtection="1">
      <alignment horizontal="right" vertical="center"/>
      <protection hidden="1"/>
    </xf>
    <xf numFmtId="0" fontId="135" fillId="0" borderId="0" xfId="0" applyFont="1" applyBorder="1" applyAlignment="1" applyProtection="1">
      <alignment vertical="center"/>
      <protection hidden="1"/>
    </xf>
    <xf numFmtId="0" fontId="135" fillId="0" borderId="47" xfId="0" applyFont="1" applyBorder="1" applyAlignment="1" applyProtection="1">
      <alignment vertical="center"/>
      <protection hidden="1"/>
    </xf>
    <xf numFmtId="0" fontId="135" fillId="0" borderId="0" xfId="0" applyFont="1" applyBorder="1" applyAlignment="1" applyProtection="1">
      <alignment horizontal="left" vertical="center"/>
      <protection hidden="1"/>
    </xf>
    <xf numFmtId="0" fontId="135" fillId="0" borderId="0" xfId="0" applyFont="1" applyFill="1" applyBorder="1" applyAlignment="1" applyProtection="1">
      <alignment horizontal="left" vertical="center"/>
      <protection hidden="1"/>
    </xf>
    <xf numFmtId="174" fontId="141" fillId="0" borderId="64" xfId="0" applyNumberFormat="1" applyFont="1" applyBorder="1" applyAlignment="1" applyProtection="1">
      <alignment horizontal="right" vertical="center"/>
      <protection hidden="1"/>
    </xf>
    <xf numFmtId="0" fontId="141" fillId="0" borderId="48" xfId="0" applyFont="1" applyBorder="1" applyAlignment="1" applyProtection="1">
      <alignment horizontal="center" vertical="center"/>
      <protection hidden="1"/>
    </xf>
    <xf numFmtId="174" fontId="141" fillId="0" borderId="57" xfId="0" applyNumberFormat="1" applyFont="1" applyBorder="1" applyAlignment="1" applyProtection="1">
      <alignment vertical="center"/>
      <protection hidden="1"/>
    </xf>
    <xf numFmtId="0" fontId="141" fillId="0" borderId="29" xfId="0" applyFont="1" applyFill="1" applyBorder="1" applyAlignment="1" applyProtection="1">
      <alignment vertical="center"/>
      <protection hidden="1"/>
    </xf>
    <xf numFmtId="0" fontId="141" fillId="0" borderId="0" xfId="0" applyFont="1" applyFill="1" applyBorder="1" applyAlignment="1" applyProtection="1">
      <alignment vertical="center"/>
      <protection hidden="1"/>
    </xf>
    <xf numFmtId="0" fontId="141" fillId="0" borderId="47" xfId="0" applyFont="1" applyFill="1" applyBorder="1" applyAlignment="1" applyProtection="1">
      <alignment vertical="center"/>
      <protection hidden="1"/>
    </xf>
    <xf numFmtId="0" fontId="137" fillId="0" borderId="0" xfId="0" applyFont="1" applyBorder="1" applyAlignment="1" applyProtection="1">
      <alignment horizontal="right" vertical="center"/>
      <protection hidden="1"/>
    </xf>
    <xf numFmtId="1" fontId="135" fillId="0" borderId="0" xfId="0" applyNumberFormat="1" applyFont="1" applyBorder="1" applyAlignment="1" applyProtection="1">
      <alignment horizontal="left" vertical="center"/>
      <protection hidden="1"/>
    </xf>
    <xf numFmtId="0" fontId="135" fillId="0" borderId="0" xfId="0" applyFont="1" applyBorder="1" applyAlignment="1" applyProtection="1">
      <alignment horizontal="right" vertical="center"/>
      <protection hidden="1"/>
    </xf>
    <xf numFmtId="0" fontId="136" fillId="0" borderId="29" xfId="0" applyFont="1" applyFill="1" applyBorder="1" applyAlignment="1" applyProtection="1">
      <alignment horizontal="center" vertical="center"/>
      <protection hidden="1"/>
    </xf>
    <xf numFmtId="168" fontId="136" fillId="0" borderId="0" xfId="0" applyNumberFormat="1" applyFont="1" applyAlignment="1">
      <alignment/>
    </xf>
    <xf numFmtId="0" fontId="136" fillId="0" borderId="0" xfId="0" applyFont="1" applyAlignment="1" applyProtection="1">
      <alignment vertical="center"/>
      <protection hidden="1"/>
    </xf>
    <xf numFmtId="0" fontId="135" fillId="0" borderId="0" xfId="0" applyFont="1" applyBorder="1" applyAlignment="1" applyProtection="1">
      <alignment horizontal="center" vertical="center"/>
      <protection hidden="1"/>
    </xf>
    <xf numFmtId="0" fontId="131" fillId="0" borderId="0" xfId="0" applyFont="1" applyBorder="1" applyAlignment="1" applyProtection="1">
      <alignment horizontal="left" vertical="center"/>
      <protection hidden="1"/>
    </xf>
    <xf numFmtId="0" fontId="161" fillId="0" borderId="0" xfId="0" applyFont="1" applyBorder="1" applyAlignment="1" applyProtection="1">
      <alignment vertical="center"/>
      <protection hidden="1"/>
    </xf>
    <xf numFmtId="3" fontId="135" fillId="0" borderId="0" xfId="0" applyNumberFormat="1" applyFont="1" applyBorder="1" applyAlignment="1">
      <alignment horizontal="right" vertical="center"/>
    </xf>
    <xf numFmtId="0" fontId="141" fillId="0" borderId="70" xfId="0" applyFont="1" applyBorder="1" applyAlignment="1" applyProtection="1">
      <alignment horizontal="center" vertical="center"/>
      <protection hidden="1"/>
    </xf>
    <xf numFmtId="0" fontId="141" fillId="0" borderId="33" xfId="0" applyFont="1" applyBorder="1" applyAlignment="1" applyProtection="1">
      <alignment horizontal="center" vertical="center"/>
      <protection hidden="1"/>
    </xf>
    <xf numFmtId="174" fontId="141" fillId="0" borderId="71" xfId="0" applyNumberFormat="1" applyFont="1" applyBorder="1" applyAlignment="1" applyProtection="1">
      <alignment vertical="center"/>
      <protection hidden="1"/>
    </xf>
    <xf numFmtId="174" fontId="141" fillId="0" borderId="72" xfId="0" applyNumberFormat="1" applyFont="1" applyBorder="1" applyAlignment="1" applyProtection="1">
      <alignment vertical="center"/>
      <protection hidden="1"/>
    </xf>
    <xf numFmtId="174" fontId="136" fillId="0" borderId="0" xfId="0" applyNumberFormat="1" applyFont="1" applyAlignment="1" applyProtection="1">
      <alignment/>
      <protection locked="0"/>
    </xf>
    <xf numFmtId="174" fontId="141" fillId="0" borderId="73" xfId="0" applyNumberFormat="1" applyFont="1" applyBorder="1" applyAlignment="1" applyProtection="1">
      <alignment vertical="center"/>
      <protection hidden="1"/>
    </xf>
    <xf numFmtId="0" fontId="136" fillId="0" borderId="0" xfId="0" applyFont="1" applyFill="1" applyBorder="1" applyAlignment="1" applyProtection="1">
      <alignment vertical="center"/>
      <protection hidden="1"/>
    </xf>
    <xf numFmtId="174" fontId="141" fillId="0" borderId="73" xfId="0" applyNumberFormat="1" applyFont="1" applyBorder="1" applyAlignment="1" applyProtection="1">
      <alignment horizontal="right" vertical="center"/>
      <protection hidden="1"/>
    </xf>
    <xf numFmtId="3" fontId="139" fillId="0" borderId="0" xfId="0" applyNumberFormat="1" applyFont="1" applyBorder="1" applyAlignment="1">
      <alignment horizontal="right"/>
    </xf>
    <xf numFmtId="168" fontId="136" fillId="0" borderId="20" xfId="0" applyNumberFormat="1" applyFont="1" applyBorder="1" applyAlignment="1" applyProtection="1">
      <alignment/>
      <protection hidden="1"/>
    </xf>
    <xf numFmtId="0" fontId="135" fillId="0" borderId="0" xfId="0" applyFont="1" applyBorder="1" applyAlignment="1">
      <alignment/>
    </xf>
    <xf numFmtId="0" fontId="136" fillId="0" borderId="20" xfId="0" applyFont="1" applyBorder="1" applyAlignment="1" applyProtection="1">
      <alignment/>
      <protection hidden="1"/>
    </xf>
    <xf numFmtId="0" fontId="136" fillId="0" borderId="20" xfId="0" applyFont="1" applyBorder="1" applyAlignment="1" applyProtection="1">
      <alignment horizontal="center"/>
      <protection hidden="1"/>
    </xf>
    <xf numFmtId="0" fontId="136" fillId="0" borderId="0" xfId="0" applyFont="1" applyBorder="1" applyAlignment="1" applyProtection="1">
      <alignment vertical="center"/>
      <protection hidden="1"/>
    </xf>
    <xf numFmtId="174" fontId="136" fillId="0" borderId="20" xfId="0" applyNumberFormat="1" applyFont="1" applyBorder="1" applyAlignment="1" applyProtection="1">
      <alignment vertical="center"/>
      <protection hidden="1"/>
    </xf>
    <xf numFmtId="0" fontId="163" fillId="0" borderId="0" xfId="0" applyFont="1" applyBorder="1" applyAlignment="1" applyProtection="1">
      <alignment vertical="center"/>
      <protection hidden="1"/>
    </xf>
    <xf numFmtId="0" fontId="141" fillId="0" borderId="35" xfId="0" applyFont="1" applyBorder="1" applyAlignment="1" applyProtection="1">
      <alignment vertical="center"/>
      <protection hidden="1"/>
    </xf>
    <xf numFmtId="0" fontId="139" fillId="0" borderId="0" xfId="0" applyFont="1" applyBorder="1" applyAlignment="1" applyProtection="1">
      <alignment horizontal="left" vertical="center"/>
      <protection hidden="1"/>
    </xf>
    <xf numFmtId="168" fontId="141" fillId="0" borderId="73" xfId="0" applyNumberFormat="1" applyFont="1" applyBorder="1" applyAlignment="1" applyProtection="1">
      <alignment vertical="center"/>
      <protection hidden="1"/>
    </xf>
    <xf numFmtId="0" fontId="136" fillId="0" borderId="35" xfId="0" applyFont="1" applyBorder="1" applyAlignment="1" applyProtection="1">
      <alignment horizontal="right" vertical="center"/>
      <protection hidden="1"/>
    </xf>
    <xf numFmtId="174" fontId="141" fillId="0" borderId="35" xfId="0" applyNumberFormat="1" applyFont="1" applyBorder="1" applyAlignment="1" applyProtection="1">
      <alignment horizontal="center" vertical="center"/>
      <protection hidden="1"/>
    </xf>
    <xf numFmtId="0" fontId="141" fillId="0" borderId="29" xfId="0" applyFont="1" applyBorder="1" applyAlignment="1" applyProtection="1">
      <alignment vertical="center"/>
      <protection hidden="1"/>
    </xf>
    <xf numFmtId="168" fontId="141" fillId="0" borderId="47" xfId="0" applyNumberFormat="1" applyFont="1" applyBorder="1" applyAlignment="1" applyProtection="1">
      <alignment vertical="center"/>
      <protection hidden="1"/>
    </xf>
    <xf numFmtId="168" fontId="139" fillId="0" borderId="65" xfId="0" applyNumberFormat="1" applyFont="1" applyBorder="1" applyAlignment="1" applyProtection="1">
      <alignment vertical="center"/>
      <protection hidden="1"/>
    </xf>
    <xf numFmtId="0" fontId="135" fillId="0" borderId="61" xfId="0" applyFont="1" applyBorder="1" applyAlignment="1" applyProtection="1">
      <alignment horizontal="center" vertical="center"/>
      <protection hidden="1"/>
    </xf>
    <xf numFmtId="3" fontId="141" fillId="0" borderId="47" xfId="0" applyNumberFormat="1" applyFont="1" applyBorder="1" applyAlignment="1" applyProtection="1">
      <alignment vertical="center"/>
      <protection hidden="1"/>
    </xf>
    <xf numFmtId="174" fontId="164" fillId="0" borderId="65" xfId="0" applyNumberFormat="1" applyFont="1" applyBorder="1" applyAlignment="1" applyProtection="1">
      <alignment horizontal="right" vertical="center"/>
      <protection hidden="1"/>
    </xf>
    <xf numFmtId="0" fontId="136" fillId="0" borderId="0" xfId="0" applyFont="1" applyBorder="1" applyAlignment="1" applyProtection="1">
      <alignment/>
      <protection locked="0"/>
    </xf>
    <xf numFmtId="0" fontId="139" fillId="0" borderId="0" xfId="0" applyFont="1" applyBorder="1" applyAlignment="1">
      <alignment horizontal="center"/>
    </xf>
    <xf numFmtId="0" fontId="136" fillId="0" borderId="0" xfId="0" applyFont="1" applyBorder="1" applyAlignment="1">
      <alignment/>
    </xf>
    <xf numFmtId="0" fontId="139" fillId="0" borderId="74" xfId="0" applyFont="1" applyBorder="1" applyAlignment="1" applyProtection="1">
      <alignment horizontal="right"/>
      <protection hidden="1"/>
    </xf>
    <xf numFmtId="0" fontId="135" fillId="0" borderId="75" xfId="0" applyFont="1" applyBorder="1" applyAlignment="1" applyProtection="1">
      <alignment horizontal="left"/>
      <protection hidden="1"/>
    </xf>
    <xf numFmtId="0" fontId="135" fillId="0" borderId="75" xfId="0" applyFont="1" applyBorder="1" applyAlignment="1" applyProtection="1">
      <alignment/>
      <protection hidden="1"/>
    </xf>
    <xf numFmtId="0" fontId="141" fillId="0" borderId="75" xfId="0" applyFont="1" applyBorder="1" applyAlignment="1" applyProtection="1">
      <alignment horizontal="center"/>
      <protection hidden="1"/>
    </xf>
    <xf numFmtId="3" fontId="141" fillId="0" borderId="75" xfId="0" applyNumberFormat="1" applyFont="1" applyBorder="1" applyAlignment="1" applyProtection="1">
      <alignment/>
      <protection hidden="1"/>
    </xf>
    <xf numFmtId="3" fontId="139" fillId="0" borderId="76" xfId="0" applyNumberFormat="1" applyFont="1" applyBorder="1" applyAlignment="1" applyProtection="1">
      <alignment/>
      <protection hidden="1"/>
    </xf>
    <xf numFmtId="0" fontId="137" fillId="0" borderId="77" xfId="0" applyFont="1" applyBorder="1" applyAlignment="1" applyProtection="1">
      <alignment horizontal="center" vertical="center"/>
      <protection hidden="1"/>
    </xf>
    <xf numFmtId="0" fontId="167" fillId="0" borderId="77" xfId="0" applyFont="1" applyBorder="1" applyAlignment="1" applyProtection="1">
      <alignment horizontal="center" vertical="center"/>
      <protection hidden="1"/>
    </xf>
    <xf numFmtId="3" fontId="136" fillId="0" borderId="0" xfId="0" applyNumberFormat="1" applyFont="1" applyBorder="1" applyAlignment="1">
      <alignment/>
    </xf>
    <xf numFmtId="0" fontId="161" fillId="0" borderId="0" xfId="0" applyFont="1" applyBorder="1" applyAlignment="1" applyProtection="1">
      <alignment/>
      <protection locked="0"/>
    </xf>
    <xf numFmtId="0" fontId="141" fillId="0" borderId="0" xfId="0" applyFont="1" applyBorder="1" applyAlignment="1" applyProtection="1">
      <alignment/>
      <protection locked="0"/>
    </xf>
    <xf numFmtId="3" fontId="141" fillId="0" borderId="0" xfId="0" applyNumberFormat="1" applyFont="1" applyBorder="1" applyAlignment="1" applyProtection="1">
      <alignment/>
      <protection locked="0"/>
    </xf>
    <xf numFmtId="3" fontId="131" fillId="0" borderId="0" xfId="0" applyNumberFormat="1" applyFont="1" applyBorder="1" applyAlignment="1" applyProtection="1">
      <alignment/>
      <protection locked="0"/>
    </xf>
    <xf numFmtId="3" fontId="161" fillId="0" borderId="0" xfId="0" applyNumberFormat="1" applyFont="1" applyBorder="1" applyAlignment="1">
      <alignment/>
    </xf>
    <xf numFmtId="0" fontId="161" fillId="0" borderId="0" xfId="0" applyFont="1" applyBorder="1" applyAlignment="1">
      <alignment/>
    </xf>
    <xf numFmtId="0" fontId="141" fillId="0" borderId="0" xfId="0" applyFont="1" applyBorder="1" applyAlignment="1">
      <alignment/>
    </xf>
    <xf numFmtId="3" fontId="141" fillId="0" borderId="0" xfId="0" applyNumberFormat="1" applyFont="1" applyBorder="1" applyAlignment="1">
      <alignment/>
    </xf>
    <xf numFmtId="3" fontId="131" fillId="0" borderId="0" xfId="0" applyNumberFormat="1" applyFont="1" applyBorder="1" applyAlignment="1">
      <alignment/>
    </xf>
    <xf numFmtId="0" fontId="131" fillId="0" borderId="0" xfId="0" applyFont="1" applyBorder="1" applyAlignment="1">
      <alignment/>
    </xf>
    <xf numFmtId="0" fontId="169" fillId="0" borderId="0" xfId="0" applyFont="1" applyBorder="1" applyAlignment="1">
      <alignment horizontal="center" vertical="center" wrapText="1"/>
    </xf>
    <xf numFmtId="0" fontId="136" fillId="0" borderId="0" xfId="0" applyFont="1" applyFill="1" applyAlignment="1">
      <alignment/>
    </xf>
    <xf numFmtId="0" fontId="136" fillId="0" borderId="0" xfId="0" applyFont="1" applyBorder="1" applyAlignment="1">
      <alignment horizontal="center" vertical="center" wrapText="1"/>
    </xf>
    <xf numFmtId="0" fontId="135" fillId="0" borderId="0" xfId="0" applyFont="1" applyBorder="1" applyAlignment="1">
      <alignment horizontal="center" vertical="center"/>
    </xf>
    <xf numFmtId="0" fontId="136" fillId="0" borderId="61" xfId="0" applyFont="1" applyBorder="1" applyAlignment="1" applyProtection="1">
      <alignment horizontal="center" vertical="center"/>
      <protection hidden="1" locked="0"/>
    </xf>
    <xf numFmtId="0" fontId="136" fillId="0" borderId="0" xfId="0" applyFont="1" applyBorder="1" applyAlignment="1" applyProtection="1">
      <alignment horizontal="center" vertical="center"/>
      <protection hidden="1" locked="0"/>
    </xf>
    <xf numFmtId="0" fontId="136" fillId="0" borderId="29" xfId="0" applyFont="1" applyBorder="1" applyAlignment="1" applyProtection="1">
      <alignment horizontal="center" vertical="center"/>
      <protection hidden="1" locked="0"/>
    </xf>
    <xf numFmtId="0" fontId="136" fillId="0" borderId="65" xfId="0" applyFont="1" applyBorder="1" applyAlignment="1" applyProtection="1">
      <alignment horizontal="center" vertical="center"/>
      <protection hidden="1" locked="0"/>
    </xf>
    <xf numFmtId="0" fontId="136" fillId="0" borderId="0" xfId="0" applyFont="1" applyBorder="1" applyAlignment="1">
      <alignment horizontal="center" vertical="center"/>
    </xf>
    <xf numFmtId="0" fontId="136" fillId="0" borderId="24" xfId="0" applyFont="1" applyBorder="1" applyAlignment="1" applyProtection="1">
      <alignment vertical="center"/>
      <protection hidden="1" locked="0"/>
    </xf>
    <xf numFmtId="0" fontId="137" fillId="0" borderId="0" xfId="0" applyFont="1" applyBorder="1" applyAlignment="1">
      <alignment horizontal="center" vertical="center"/>
    </xf>
    <xf numFmtId="1" fontId="135" fillId="0" borderId="23" xfId="0" applyNumberFormat="1" applyFont="1" applyBorder="1" applyAlignment="1" applyProtection="1">
      <alignment vertical="center"/>
      <protection hidden="1" locked="0"/>
    </xf>
    <xf numFmtId="1" fontId="135" fillId="0" borderId="23" xfId="0" applyNumberFormat="1" applyFont="1" applyBorder="1" applyAlignment="1" applyProtection="1">
      <alignment vertical="center"/>
      <protection locked="0"/>
    </xf>
    <xf numFmtId="0" fontId="136" fillId="0" borderId="24" xfId="0" applyFont="1" applyBorder="1" applyAlignment="1" applyProtection="1">
      <alignment vertical="center"/>
      <protection locked="0"/>
    </xf>
    <xf numFmtId="0" fontId="141" fillId="0" borderId="0" xfId="0" applyFont="1" applyBorder="1" applyAlignment="1">
      <alignment horizontal="center" vertical="center"/>
    </xf>
    <xf numFmtId="0" fontId="164" fillId="0" borderId="0" xfId="0" applyFont="1" applyBorder="1" applyAlignment="1">
      <alignment horizontal="center" vertical="center"/>
    </xf>
    <xf numFmtId="168" fontId="111" fillId="0" borderId="0" xfId="0" applyNumberFormat="1" applyFont="1" applyBorder="1" applyAlignment="1">
      <alignment horizontal="center" vertical="center"/>
    </xf>
    <xf numFmtId="0" fontId="131" fillId="0" borderId="0" xfId="0" applyFont="1" applyFill="1" applyBorder="1" applyAlignment="1">
      <alignment vertical="center"/>
    </xf>
    <xf numFmtId="0" fontId="131" fillId="0" borderId="29" xfId="0" applyFont="1" applyBorder="1" applyAlignment="1" applyProtection="1">
      <alignment vertical="center"/>
      <protection hidden="1"/>
    </xf>
    <xf numFmtId="0" fontId="135" fillId="0" borderId="70" xfId="0" applyFont="1" applyBorder="1" applyAlignment="1" applyProtection="1">
      <alignment vertical="center"/>
      <protection hidden="1"/>
    </xf>
    <xf numFmtId="168" fontId="136" fillId="0" borderId="71" xfId="0" applyNumberFormat="1" applyFont="1" applyBorder="1" applyAlignment="1" applyProtection="1">
      <alignment vertical="center"/>
      <protection hidden="1"/>
    </xf>
    <xf numFmtId="3" fontId="135" fillId="0" borderId="0" xfId="0" applyNumberFormat="1" applyFont="1" applyBorder="1" applyAlignment="1" applyProtection="1">
      <alignment vertical="center"/>
      <protection hidden="1"/>
    </xf>
    <xf numFmtId="3" fontId="135" fillId="0" borderId="47" xfId="0" applyNumberFormat="1" applyFont="1" applyBorder="1" applyAlignment="1" applyProtection="1">
      <alignment vertical="center"/>
      <protection hidden="1"/>
    </xf>
    <xf numFmtId="168" fontId="136" fillId="0" borderId="65" xfId="0" applyNumberFormat="1" applyFont="1" applyBorder="1" applyAlignment="1" applyProtection="1">
      <alignment vertical="center"/>
      <protection hidden="1"/>
    </xf>
    <xf numFmtId="3" fontId="135" fillId="0" borderId="0" xfId="0" applyNumberFormat="1" applyFont="1" applyBorder="1" applyAlignment="1">
      <alignment vertical="center"/>
    </xf>
    <xf numFmtId="0" fontId="136" fillId="0" borderId="29" xfId="0" applyFont="1" applyBorder="1" applyAlignment="1" applyProtection="1">
      <alignment vertical="center"/>
      <protection hidden="1"/>
    </xf>
    <xf numFmtId="0" fontId="135" fillId="0" borderId="66" xfId="0" applyFont="1" applyBorder="1" applyAlignment="1" applyProtection="1">
      <alignment vertical="center"/>
      <protection hidden="1"/>
    </xf>
    <xf numFmtId="168" fontId="136" fillId="0" borderId="67" xfId="0" applyNumberFormat="1" applyFont="1" applyBorder="1" applyAlignment="1" applyProtection="1">
      <alignment vertical="center"/>
      <protection hidden="1"/>
    </xf>
    <xf numFmtId="0" fontId="135" fillId="0" borderId="62" xfId="0" applyFont="1" applyBorder="1" applyAlignment="1" applyProtection="1">
      <alignment vertical="center"/>
      <protection hidden="1"/>
    </xf>
    <xf numFmtId="168" fontId="136" fillId="0" borderId="64" xfId="0" applyNumberFormat="1" applyFont="1" applyBorder="1" applyAlignment="1" applyProtection="1">
      <alignment vertical="center"/>
      <protection hidden="1"/>
    </xf>
    <xf numFmtId="0" fontId="135" fillId="0" borderId="78" xfId="0" applyFont="1" applyBorder="1" applyAlignment="1" applyProtection="1">
      <alignment vertical="center"/>
      <protection hidden="1"/>
    </xf>
    <xf numFmtId="168" fontId="136" fillId="0" borderId="79" xfId="0" applyNumberFormat="1" applyFont="1" applyBorder="1" applyAlignment="1" applyProtection="1">
      <alignment vertical="center"/>
      <protection hidden="1"/>
    </xf>
    <xf numFmtId="0" fontId="135" fillId="0" borderId="23" xfId="0" applyFont="1" applyBorder="1" applyAlignment="1" applyProtection="1">
      <alignment vertical="center"/>
      <protection hidden="1"/>
    </xf>
    <xf numFmtId="168" fontId="136" fillId="0" borderId="24" xfId="0" applyNumberFormat="1" applyFont="1" applyBorder="1" applyAlignment="1" applyProtection="1">
      <alignment vertical="center"/>
      <protection hidden="1"/>
    </xf>
    <xf numFmtId="168" fontId="141" fillId="0" borderId="65" xfId="0" applyNumberFormat="1" applyFont="1" applyBorder="1" applyAlignment="1" applyProtection="1">
      <alignment vertical="center"/>
      <protection hidden="1"/>
    </xf>
    <xf numFmtId="3" fontId="139" fillId="0" borderId="0" xfId="0" applyNumberFormat="1" applyFont="1" applyBorder="1" applyAlignment="1">
      <alignment vertical="center"/>
    </xf>
    <xf numFmtId="0" fontId="135" fillId="0" borderId="29" xfId="0" applyFont="1" applyBorder="1" applyAlignment="1" applyProtection="1">
      <alignment vertical="center"/>
      <protection hidden="1"/>
    </xf>
    <xf numFmtId="168" fontId="136" fillId="0" borderId="0" xfId="0" applyNumberFormat="1" applyFont="1" applyBorder="1" applyAlignment="1" applyProtection="1">
      <alignment vertical="center"/>
      <protection hidden="1"/>
    </xf>
    <xf numFmtId="3" fontId="135" fillId="0" borderId="29" xfId="0" applyNumberFormat="1" applyFont="1" applyBorder="1" applyAlignment="1" applyProtection="1">
      <alignment vertical="center"/>
      <protection hidden="1"/>
    </xf>
    <xf numFmtId="0" fontId="136" fillId="0" borderId="0" xfId="0" applyFont="1" applyBorder="1" applyAlignment="1" applyProtection="1">
      <alignment/>
      <protection hidden="1"/>
    </xf>
    <xf numFmtId="0" fontId="136" fillId="0" borderId="47" xfId="0" applyFont="1" applyBorder="1" applyAlignment="1" applyProtection="1">
      <alignment vertical="center"/>
      <protection hidden="1"/>
    </xf>
    <xf numFmtId="0" fontId="135" fillId="0" borderId="35" xfId="0" applyFont="1" applyBorder="1" applyAlignment="1" applyProtection="1">
      <alignment vertical="center"/>
      <protection hidden="1"/>
    </xf>
    <xf numFmtId="168" fontId="136" fillId="0" borderId="35" xfId="0" applyNumberFormat="1" applyFont="1" applyBorder="1" applyAlignment="1" applyProtection="1">
      <alignment horizontal="right" vertical="center"/>
      <protection hidden="1"/>
    </xf>
    <xf numFmtId="3" fontId="135" fillId="0" borderId="48" xfId="0" applyNumberFormat="1" applyFont="1" applyBorder="1" applyAlignment="1" applyProtection="1">
      <alignment vertical="center"/>
      <protection hidden="1"/>
    </xf>
    <xf numFmtId="168" fontId="136" fillId="0" borderId="59" xfId="0" applyNumberFormat="1" applyFont="1" applyBorder="1" applyAlignment="1" applyProtection="1">
      <alignment horizontal="right" vertical="center"/>
      <protection hidden="1"/>
    </xf>
    <xf numFmtId="168" fontId="135" fillId="0" borderId="0" xfId="0" applyNumberFormat="1" applyFont="1" applyBorder="1" applyAlignment="1">
      <alignment horizontal="right" vertical="center"/>
    </xf>
    <xf numFmtId="168" fontId="135" fillId="0" borderId="0" xfId="0" applyNumberFormat="1" applyFont="1" applyBorder="1" applyAlignment="1">
      <alignment vertical="center"/>
    </xf>
    <xf numFmtId="168" fontId="139" fillId="0" borderId="0" xfId="0" applyNumberFormat="1" applyFont="1" applyBorder="1" applyAlignment="1">
      <alignment horizontal="right" vertical="center"/>
    </xf>
    <xf numFmtId="168" fontId="139" fillId="0" borderId="0" xfId="0" applyNumberFormat="1" applyFont="1" applyBorder="1" applyAlignment="1">
      <alignment vertical="center"/>
    </xf>
    <xf numFmtId="168" fontId="136" fillId="0" borderId="47" xfId="0" applyNumberFormat="1" applyFont="1" applyBorder="1" applyAlignment="1" applyProtection="1">
      <alignment vertical="center"/>
      <protection hidden="1"/>
    </xf>
    <xf numFmtId="168" fontId="136" fillId="0" borderId="59" xfId="0" applyNumberFormat="1" applyFont="1" applyBorder="1" applyAlignment="1" applyProtection="1">
      <alignment vertical="center"/>
      <protection hidden="1"/>
    </xf>
    <xf numFmtId="3" fontId="135" fillId="0" borderId="80" xfId="0" applyNumberFormat="1" applyFont="1" applyBorder="1" applyAlignment="1" applyProtection="1">
      <alignment vertical="center"/>
      <protection hidden="1"/>
    </xf>
    <xf numFmtId="168" fontId="141" fillId="0" borderId="81" xfId="0" applyNumberFormat="1" applyFont="1" applyBorder="1" applyAlignment="1" applyProtection="1">
      <alignment vertical="center"/>
      <protection hidden="1"/>
    </xf>
    <xf numFmtId="3" fontId="135" fillId="0" borderId="66" xfId="0" applyNumberFormat="1" applyFont="1" applyBorder="1" applyAlignment="1" applyProtection="1">
      <alignment vertical="center"/>
      <protection hidden="1"/>
    </xf>
    <xf numFmtId="168" fontId="136" fillId="0" borderId="73" xfId="0" applyNumberFormat="1" applyFont="1" applyBorder="1" applyAlignment="1" applyProtection="1">
      <alignment vertical="center"/>
      <protection hidden="1"/>
    </xf>
    <xf numFmtId="3" fontId="141" fillId="0" borderId="0" xfId="0" applyNumberFormat="1" applyFont="1" applyBorder="1" applyAlignment="1" applyProtection="1">
      <alignment vertical="center"/>
      <protection hidden="1"/>
    </xf>
    <xf numFmtId="3" fontId="135" fillId="0" borderId="29" xfId="0" applyNumberFormat="1" applyFont="1" applyBorder="1" applyAlignment="1" applyProtection="1">
      <alignment horizontal="right" vertical="center"/>
      <protection hidden="1"/>
    </xf>
    <xf numFmtId="3" fontId="144" fillId="0" borderId="48" xfId="0" applyNumberFormat="1" applyFont="1" applyBorder="1" applyAlignment="1" applyProtection="1">
      <alignment vertical="center"/>
      <protection hidden="1"/>
    </xf>
    <xf numFmtId="168" fontId="141" fillId="0" borderId="57" xfId="0" applyNumberFormat="1" applyFont="1" applyBorder="1" applyAlignment="1" applyProtection="1">
      <alignment vertical="center"/>
      <protection hidden="1"/>
    </xf>
    <xf numFmtId="168" fontId="135" fillId="0" borderId="47" xfId="0" applyNumberFormat="1" applyFont="1" applyBorder="1" applyAlignment="1" applyProtection="1">
      <alignment vertical="center"/>
      <protection hidden="1"/>
    </xf>
    <xf numFmtId="0" fontId="131" fillId="0" borderId="61" xfId="0" applyFont="1" applyBorder="1" applyAlignment="1" applyProtection="1">
      <alignment horizontal="right" vertical="center"/>
      <protection hidden="1"/>
    </xf>
    <xf numFmtId="0" fontId="131" fillId="0" borderId="0" xfId="0" applyFont="1" applyBorder="1" applyAlignment="1" applyProtection="1">
      <alignment vertical="center"/>
      <protection hidden="1"/>
    </xf>
    <xf numFmtId="0" fontId="136" fillId="0" borderId="0" xfId="0" applyFont="1" applyBorder="1" applyAlignment="1" applyProtection="1">
      <alignment horizontal="center" vertical="center"/>
      <protection hidden="1"/>
    </xf>
    <xf numFmtId="0" fontId="135" fillId="0" borderId="0" xfId="0" applyFont="1" applyBorder="1" applyAlignment="1">
      <alignment vertical="center"/>
    </xf>
    <xf numFmtId="0" fontId="139" fillId="0" borderId="0" xfId="0" applyFont="1" applyBorder="1" applyAlignment="1" applyProtection="1">
      <alignment vertical="center"/>
      <protection hidden="1"/>
    </xf>
    <xf numFmtId="3" fontId="135" fillId="0" borderId="35" xfId="0" applyNumberFormat="1" applyFont="1" applyBorder="1" applyAlignment="1" applyProtection="1">
      <alignment vertical="center"/>
      <protection hidden="1"/>
    </xf>
    <xf numFmtId="3" fontId="135" fillId="0" borderId="35" xfId="0" applyNumberFormat="1" applyFont="1" applyBorder="1" applyAlignment="1" applyProtection="1">
      <alignment horizontal="right" vertical="center"/>
      <protection hidden="1"/>
    </xf>
    <xf numFmtId="3" fontId="135" fillId="0" borderId="66" xfId="0" applyNumberFormat="1" applyFont="1" applyBorder="1" applyAlignment="1" applyProtection="1">
      <alignment horizontal="right" vertical="center"/>
      <protection hidden="1"/>
    </xf>
    <xf numFmtId="168" fontId="136" fillId="0" borderId="67" xfId="0" applyNumberFormat="1" applyFont="1" applyBorder="1" applyAlignment="1" applyProtection="1">
      <alignment horizontal="right" vertical="center"/>
      <protection hidden="1"/>
    </xf>
    <xf numFmtId="1" fontId="135" fillId="0" borderId="35" xfId="0" applyNumberFormat="1" applyFont="1" applyBorder="1" applyAlignment="1" applyProtection="1">
      <alignment horizontal="right" vertical="center"/>
      <protection hidden="1"/>
    </xf>
    <xf numFmtId="3" fontId="135" fillId="0" borderId="63" xfId="0" applyNumberFormat="1" applyFont="1" applyBorder="1" applyAlignment="1" applyProtection="1">
      <alignment vertical="center"/>
      <protection hidden="1"/>
    </xf>
    <xf numFmtId="1" fontId="135" fillId="0" borderId="66" xfId="0" applyNumberFormat="1" applyFont="1" applyBorder="1" applyAlignment="1" applyProtection="1">
      <alignment horizontal="right" vertical="center"/>
      <protection hidden="1"/>
    </xf>
    <xf numFmtId="0" fontId="139" fillId="0" borderId="48" xfId="0" applyNumberFormat="1" applyFont="1" applyBorder="1" applyAlignment="1" applyProtection="1">
      <alignment vertical="center"/>
      <protection hidden="1"/>
    </xf>
    <xf numFmtId="168" fontId="141" fillId="0" borderId="59" xfId="0" applyNumberFormat="1" applyFont="1" applyBorder="1" applyAlignment="1" applyProtection="1">
      <alignment vertical="center"/>
      <protection hidden="1"/>
    </xf>
    <xf numFmtId="3" fontId="131" fillId="0" borderId="29" xfId="0" applyNumberFormat="1" applyFont="1" applyBorder="1" applyAlignment="1" applyProtection="1">
      <alignment vertical="center"/>
      <protection hidden="1"/>
    </xf>
    <xf numFmtId="3" fontId="131" fillId="0" borderId="0" xfId="0" applyNumberFormat="1" applyFont="1" applyBorder="1" applyAlignment="1" applyProtection="1">
      <alignment vertical="center"/>
      <protection hidden="1"/>
    </xf>
    <xf numFmtId="3" fontId="141" fillId="0" borderId="62" xfId="0" applyNumberFormat="1" applyFont="1" applyBorder="1" applyAlignment="1" applyProtection="1">
      <alignment vertical="center"/>
      <protection hidden="1"/>
    </xf>
    <xf numFmtId="3" fontId="141" fillId="0" borderId="63" xfId="0" applyNumberFormat="1" applyFont="1" applyBorder="1" applyAlignment="1" applyProtection="1">
      <alignment vertical="center"/>
      <protection hidden="1"/>
    </xf>
    <xf numFmtId="3" fontId="141" fillId="0" borderId="64" xfId="0" applyNumberFormat="1" applyFont="1" applyBorder="1" applyAlignment="1" applyProtection="1">
      <alignment vertical="center"/>
      <protection hidden="1"/>
    </xf>
    <xf numFmtId="3" fontId="139" fillId="0" borderId="0" xfId="0" applyNumberFormat="1" applyFont="1" applyBorder="1" applyAlignment="1" applyProtection="1">
      <alignment vertical="center"/>
      <protection hidden="1"/>
    </xf>
    <xf numFmtId="3" fontId="137" fillId="0" borderId="29" xfId="0" applyNumberFormat="1" applyFont="1" applyBorder="1" applyAlignment="1" applyProtection="1">
      <alignment horizontal="right" vertical="center"/>
      <protection hidden="1"/>
    </xf>
    <xf numFmtId="168" fontId="136" fillId="0" borderId="35" xfId="0" applyNumberFormat="1" applyFont="1" applyBorder="1" applyAlignment="1" applyProtection="1">
      <alignment vertical="center"/>
      <protection hidden="1"/>
    </xf>
    <xf numFmtId="3" fontId="139" fillId="0" borderId="78" xfId="0" applyNumberFormat="1" applyFont="1" applyBorder="1" applyAlignment="1" applyProtection="1">
      <alignment vertical="center"/>
      <protection hidden="1"/>
    </xf>
    <xf numFmtId="168" fontId="141" fillId="0" borderId="82" xfId="0" applyNumberFormat="1" applyFont="1" applyBorder="1" applyAlignment="1" applyProtection="1">
      <alignment vertical="center"/>
      <protection hidden="1"/>
    </xf>
    <xf numFmtId="3" fontId="141" fillId="0" borderId="29" xfId="0" applyNumberFormat="1" applyFont="1" applyBorder="1" applyAlignment="1" applyProtection="1">
      <alignment vertical="center"/>
      <protection hidden="1"/>
    </xf>
    <xf numFmtId="3" fontId="131" fillId="0" borderId="47" xfId="0" applyNumberFormat="1" applyFont="1" applyBorder="1" applyAlignment="1" applyProtection="1">
      <alignment vertical="center"/>
      <protection hidden="1"/>
    </xf>
    <xf numFmtId="3" fontId="139" fillId="0" borderId="26" xfId="0" applyNumberFormat="1" applyFont="1" applyBorder="1" applyAlignment="1" applyProtection="1">
      <alignment vertical="center"/>
      <protection hidden="1"/>
    </xf>
    <xf numFmtId="168" fontId="141" fillId="0" borderId="83" xfId="0" applyNumberFormat="1" applyFont="1" applyBorder="1" applyAlignment="1" applyProtection="1">
      <alignment/>
      <protection hidden="1"/>
    </xf>
    <xf numFmtId="0" fontId="131" fillId="0" borderId="84" xfId="0" applyFont="1" applyBorder="1" applyAlignment="1" applyProtection="1">
      <alignment vertical="center"/>
      <protection hidden="1"/>
    </xf>
    <xf numFmtId="0" fontId="139" fillId="0" borderId="48" xfId="0" applyFont="1" applyBorder="1" applyAlignment="1" applyProtection="1">
      <alignment vertical="center"/>
      <protection hidden="1"/>
    </xf>
    <xf numFmtId="0" fontId="139" fillId="0" borderId="42" xfId="0" applyFont="1" applyBorder="1" applyAlignment="1" applyProtection="1">
      <alignment vertical="center"/>
      <protection hidden="1"/>
    </xf>
    <xf numFmtId="0" fontId="135" fillId="0" borderId="42" xfId="0" applyFont="1" applyBorder="1" applyAlignment="1" applyProtection="1">
      <alignment vertical="center"/>
      <protection hidden="1"/>
    </xf>
    <xf numFmtId="0" fontId="135" fillId="0" borderId="57" xfId="0" applyFont="1" applyBorder="1" applyAlignment="1" applyProtection="1">
      <alignment vertical="center"/>
      <protection hidden="1"/>
    </xf>
    <xf numFmtId="0" fontId="135" fillId="0" borderId="48" xfId="0" applyFont="1" applyBorder="1" applyAlignment="1" applyProtection="1">
      <alignment vertical="center"/>
      <protection hidden="1"/>
    </xf>
    <xf numFmtId="0" fontId="141" fillId="0" borderId="59" xfId="0" applyFont="1" applyBorder="1" applyAlignment="1" applyProtection="1">
      <alignment vertical="center"/>
      <protection hidden="1"/>
    </xf>
    <xf numFmtId="0" fontId="60" fillId="0" borderId="61" xfId="0" applyFont="1" applyBorder="1" applyAlignment="1" applyProtection="1">
      <alignment vertical="center"/>
      <protection hidden="1"/>
    </xf>
    <xf numFmtId="0" fontId="60" fillId="0" borderId="0" xfId="0" applyFont="1" applyBorder="1" applyAlignment="1" applyProtection="1">
      <alignment vertical="center"/>
      <protection hidden="1"/>
    </xf>
    <xf numFmtId="0" fontId="135" fillId="0" borderId="65" xfId="0" applyFont="1" applyBorder="1" applyAlignment="1" applyProtection="1">
      <alignment vertical="center"/>
      <protection hidden="1"/>
    </xf>
    <xf numFmtId="0" fontId="139" fillId="0" borderId="0" xfId="0" applyFont="1" applyBorder="1" applyAlignment="1">
      <alignment vertical="center"/>
    </xf>
    <xf numFmtId="0" fontId="135" fillId="0" borderId="77" xfId="0" applyFont="1" applyBorder="1" applyAlignment="1" applyProtection="1">
      <alignment horizontal="center"/>
      <protection hidden="1"/>
    </xf>
    <xf numFmtId="0" fontId="171" fillId="0" borderId="77" xfId="0" applyFont="1" applyBorder="1" applyAlignment="1" applyProtection="1">
      <alignment horizontal="center"/>
      <protection hidden="1"/>
    </xf>
    <xf numFmtId="0" fontId="161" fillId="0" borderId="0" xfId="0" applyFont="1" applyBorder="1" applyAlignment="1">
      <alignment horizontal="left"/>
    </xf>
    <xf numFmtId="0" fontId="60" fillId="0" borderId="0" xfId="0" applyFont="1" applyBorder="1" applyAlignment="1">
      <alignment horizontal="center"/>
    </xf>
    <xf numFmtId="0" fontId="135" fillId="0" borderId="0" xfId="0" applyFont="1" applyBorder="1" applyAlignment="1">
      <alignment horizontal="left"/>
    </xf>
    <xf numFmtId="0" fontId="60" fillId="0" borderId="0" xfId="0" applyFont="1" applyBorder="1" applyAlignment="1">
      <alignment horizontal="left"/>
    </xf>
    <xf numFmtId="0" fontId="161" fillId="0" borderId="0" xfId="0" applyFont="1" applyBorder="1" applyAlignment="1">
      <alignment/>
    </xf>
    <xf numFmtId="0" fontId="164" fillId="0" borderId="0" xfId="0" applyFont="1" applyBorder="1" applyAlignment="1">
      <alignment horizontal="center"/>
    </xf>
    <xf numFmtId="0" fontId="161" fillId="0" borderId="0" xfId="0" applyFont="1" applyBorder="1" applyAlignment="1">
      <alignment horizontal="center"/>
    </xf>
    <xf numFmtId="0" fontId="136" fillId="0" borderId="0" xfId="0" applyFont="1" applyFill="1" applyBorder="1" applyAlignment="1">
      <alignment/>
    </xf>
    <xf numFmtId="0" fontId="136" fillId="0" borderId="0" xfId="0" applyFont="1" applyAlignment="1">
      <alignment horizontal="center"/>
    </xf>
    <xf numFmtId="0" fontId="131" fillId="0" borderId="85" xfId="0" applyFont="1" applyFill="1" applyBorder="1" applyAlignment="1" applyProtection="1">
      <alignment horizontal="right"/>
      <protection hidden="1"/>
    </xf>
    <xf numFmtId="0" fontId="135" fillId="0" borderId="86" xfId="0" applyFont="1" applyFill="1" applyBorder="1" applyAlignment="1" applyProtection="1">
      <alignment horizontal="center" vertical="center"/>
      <protection hidden="1"/>
    </xf>
    <xf numFmtId="0" fontId="135" fillId="0" borderId="77" xfId="0" applyFont="1" applyFill="1" applyBorder="1" applyAlignment="1" applyProtection="1">
      <alignment/>
      <protection hidden="1"/>
    </xf>
    <xf numFmtId="168" fontId="135" fillId="0" borderId="58" xfId="0" applyNumberFormat="1" applyFont="1" applyFill="1" applyBorder="1" applyAlignment="1" applyProtection="1">
      <alignment horizontal="center" vertical="center"/>
      <protection/>
    </xf>
    <xf numFmtId="0" fontId="135" fillId="0" borderId="0" xfId="0" applyFont="1" applyFill="1" applyBorder="1" applyAlignment="1">
      <alignment/>
    </xf>
    <xf numFmtId="0" fontId="131" fillId="0" borderId="87" xfId="0" applyFont="1" applyFill="1" applyBorder="1" applyAlignment="1" applyProtection="1">
      <alignment horizontal="center"/>
      <protection hidden="1"/>
    </xf>
    <xf numFmtId="0" fontId="136" fillId="0" borderId="88" xfId="0" applyFont="1" applyFill="1" applyBorder="1" applyAlignment="1" applyProtection="1">
      <alignment horizontal="center" vertical="top"/>
      <protection hidden="1"/>
    </xf>
    <xf numFmtId="0" fontId="135" fillId="0" borderId="0" xfId="0" applyFont="1" applyFill="1" applyBorder="1" applyAlignment="1" applyProtection="1">
      <alignment/>
      <protection hidden="1"/>
    </xf>
    <xf numFmtId="168" fontId="135" fillId="0" borderId="65" xfId="0" applyNumberFormat="1" applyFont="1" applyFill="1" applyBorder="1" applyAlignment="1" applyProtection="1">
      <alignment horizontal="center" vertical="center"/>
      <protection/>
    </xf>
    <xf numFmtId="0" fontId="136" fillId="0" borderId="0" xfId="0" applyFont="1" applyFill="1" applyBorder="1" applyAlignment="1">
      <alignment vertical="center"/>
    </xf>
    <xf numFmtId="0" fontId="161" fillId="0" borderId="87" xfId="0" applyFont="1" applyFill="1" applyBorder="1" applyAlignment="1" applyProtection="1">
      <alignment/>
      <protection hidden="1"/>
    </xf>
    <xf numFmtId="0" fontId="135" fillId="0" borderId="0" xfId="0" applyFont="1" applyFill="1" applyBorder="1" applyAlignment="1" applyProtection="1">
      <alignment/>
      <protection hidden="1"/>
    </xf>
    <xf numFmtId="0" fontId="136" fillId="0" borderId="0" xfId="0" applyFont="1" applyFill="1" applyAlignment="1" applyProtection="1">
      <alignment/>
      <protection/>
    </xf>
    <xf numFmtId="0" fontId="136" fillId="0" borderId="35" xfId="0" applyFont="1" applyFill="1" applyBorder="1" applyAlignment="1" applyProtection="1">
      <alignment/>
      <protection hidden="1"/>
    </xf>
    <xf numFmtId="168" fontId="136" fillId="0" borderId="89" xfId="0" applyNumberFormat="1" applyFont="1" applyFill="1" applyBorder="1" applyAlignment="1" applyProtection="1">
      <alignment horizontal="right"/>
      <protection hidden="1"/>
    </xf>
    <xf numFmtId="168" fontId="136" fillId="0" borderId="44" xfId="0" applyNumberFormat="1" applyFont="1" applyFill="1" applyBorder="1" applyAlignment="1" applyProtection="1">
      <alignment horizontal="right"/>
      <protection hidden="1"/>
    </xf>
    <xf numFmtId="168" fontId="135" fillId="0" borderId="65" xfId="0" applyNumberFormat="1" applyFont="1" applyFill="1" applyBorder="1" applyAlignment="1" applyProtection="1">
      <alignment/>
      <protection hidden="1"/>
    </xf>
    <xf numFmtId="3" fontId="136" fillId="0" borderId="0" xfId="0" applyNumberFormat="1" applyFont="1" applyFill="1" applyBorder="1" applyAlignment="1">
      <alignment horizontal="right" vertical="center"/>
    </xf>
    <xf numFmtId="0" fontId="137" fillId="0" borderId="0" xfId="0" applyFont="1" applyFill="1" applyBorder="1" applyAlignment="1">
      <alignment horizontal="left" vertical="center"/>
    </xf>
    <xf numFmtId="0" fontId="137" fillId="0" borderId="0" xfId="0" applyFont="1" applyFill="1" applyAlignment="1">
      <alignment horizontal="left" vertical="center"/>
    </xf>
    <xf numFmtId="0" fontId="136" fillId="0" borderId="0" xfId="0" applyNumberFormat="1" applyFont="1" applyFill="1" applyAlignment="1">
      <alignment/>
    </xf>
    <xf numFmtId="168" fontId="136" fillId="0" borderId="0" xfId="0" applyNumberFormat="1" applyFont="1" applyFill="1" applyBorder="1" applyAlignment="1">
      <alignment/>
    </xf>
    <xf numFmtId="0" fontId="135" fillId="0" borderId="0" xfId="0" applyFont="1" applyFill="1" applyAlignment="1" applyProtection="1">
      <alignment/>
      <protection hidden="1"/>
    </xf>
    <xf numFmtId="0" fontId="136" fillId="0" borderId="0" xfId="0" applyFont="1" applyFill="1" applyAlignment="1" applyProtection="1">
      <alignment/>
      <protection hidden="1"/>
    </xf>
    <xf numFmtId="168" fontId="136" fillId="0" borderId="89" xfId="0" applyNumberFormat="1" applyFont="1" applyFill="1" applyBorder="1" applyAlignment="1" applyProtection="1">
      <alignment horizontal="center" vertical="center"/>
      <protection hidden="1"/>
    </xf>
    <xf numFmtId="168" fontId="136" fillId="0" borderId="44" xfId="0" applyNumberFormat="1" applyFont="1" applyFill="1" applyBorder="1" applyAlignment="1" applyProtection="1">
      <alignment horizontal="left"/>
      <protection hidden="1"/>
    </xf>
    <xf numFmtId="168" fontId="136" fillId="0" borderId="44" xfId="0" applyNumberFormat="1" applyFont="1" applyFill="1" applyBorder="1" applyAlignment="1" applyProtection="1">
      <alignment/>
      <protection hidden="1"/>
    </xf>
    <xf numFmtId="3" fontId="136" fillId="0" borderId="0" xfId="0" applyNumberFormat="1" applyFont="1" applyFill="1" applyAlignment="1">
      <alignment/>
    </xf>
    <xf numFmtId="168" fontId="136" fillId="0" borderId="89" xfId="0" applyNumberFormat="1" applyFont="1" applyFill="1" applyBorder="1" applyAlignment="1" applyProtection="1">
      <alignment/>
      <protection hidden="1"/>
    </xf>
    <xf numFmtId="168" fontId="136" fillId="0" borderId="35" xfId="0" applyNumberFormat="1" applyFont="1" applyFill="1" applyBorder="1" applyAlignment="1" applyProtection="1">
      <alignment/>
      <protection hidden="1"/>
    </xf>
    <xf numFmtId="0" fontId="131" fillId="0" borderId="0" xfId="0" applyFont="1" applyFill="1" applyBorder="1" applyAlignment="1" applyProtection="1">
      <alignment vertical="center"/>
      <protection hidden="1"/>
    </xf>
    <xf numFmtId="0" fontId="131" fillId="0" borderId="90" xfId="0" applyFont="1" applyFill="1" applyBorder="1" applyAlignment="1" applyProtection="1">
      <alignment vertical="center"/>
      <protection hidden="1"/>
    </xf>
    <xf numFmtId="0" fontId="131" fillId="0" borderId="91" xfId="0" applyFont="1" applyFill="1" applyBorder="1" applyAlignment="1" applyProtection="1">
      <alignment vertical="center"/>
      <protection hidden="1"/>
    </xf>
    <xf numFmtId="0" fontId="136" fillId="0" borderId="92" xfId="0" applyFont="1" applyFill="1" applyBorder="1" applyAlignment="1" applyProtection="1">
      <alignment vertical="center"/>
      <protection hidden="1"/>
    </xf>
    <xf numFmtId="168" fontId="141" fillId="0" borderId="93" xfId="0" applyNumberFormat="1" applyFont="1" applyFill="1" applyBorder="1" applyAlignment="1" applyProtection="1">
      <alignment vertical="center"/>
      <protection hidden="1"/>
    </xf>
    <xf numFmtId="0" fontId="139" fillId="0" borderId="0" xfId="0" applyFont="1" applyFill="1" applyBorder="1" applyAlignment="1">
      <alignment vertical="center"/>
    </xf>
    <xf numFmtId="0" fontId="141" fillId="0" borderId="0" xfId="0" applyFont="1" applyFill="1" applyBorder="1" applyAlignment="1">
      <alignment vertical="center"/>
    </xf>
    <xf numFmtId="0" fontId="135" fillId="0" borderId="90" xfId="0" applyFont="1" applyFill="1" applyBorder="1" applyAlignment="1" applyProtection="1">
      <alignment/>
      <protection hidden="1"/>
    </xf>
    <xf numFmtId="0" fontId="135" fillId="0" borderId="91" xfId="0" applyFont="1" applyFill="1" applyBorder="1" applyAlignment="1" applyProtection="1">
      <alignment/>
      <protection hidden="1"/>
    </xf>
    <xf numFmtId="0" fontId="136" fillId="0" borderId="92" xfId="0" applyFont="1" applyFill="1" applyBorder="1" applyAlignment="1" applyProtection="1">
      <alignment/>
      <protection hidden="1"/>
    </xf>
    <xf numFmtId="0" fontId="139" fillId="0" borderId="0" xfId="0" applyFont="1" applyFill="1" applyBorder="1" applyAlignment="1">
      <alignment/>
    </xf>
    <xf numFmtId="0" fontId="131" fillId="0" borderId="0" xfId="0" applyFont="1" applyFill="1" applyBorder="1" applyAlignment="1">
      <alignment/>
    </xf>
    <xf numFmtId="0" fontId="136" fillId="0" borderId="0" xfId="0" applyFont="1" applyFill="1" applyBorder="1" applyAlignment="1" applyProtection="1">
      <alignment/>
      <protection hidden="1"/>
    </xf>
    <xf numFmtId="168" fontId="136" fillId="0" borderId="65" xfId="0" applyNumberFormat="1" applyFont="1" applyFill="1" applyBorder="1" applyAlignment="1" applyProtection="1">
      <alignment/>
      <protection hidden="1"/>
    </xf>
    <xf numFmtId="0" fontId="131" fillId="0" borderId="87" xfId="0" applyFont="1" applyFill="1" applyBorder="1" applyAlignment="1" applyProtection="1">
      <alignment horizontal="center" vertical="center"/>
      <protection hidden="1"/>
    </xf>
    <xf numFmtId="0" fontId="131" fillId="0" borderId="0" xfId="0" applyFont="1" applyFill="1" applyBorder="1" applyAlignment="1" applyProtection="1">
      <alignment horizontal="left"/>
      <protection hidden="1"/>
    </xf>
    <xf numFmtId="3" fontId="141" fillId="0" borderId="65" xfId="0" applyNumberFormat="1" applyFont="1" applyFill="1" applyBorder="1" applyAlignment="1" applyProtection="1">
      <alignment horizontal="right"/>
      <protection hidden="1"/>
    </xf>
    <xf numFmtId="1" fontId="135" fillId="0" borderId="0" xfId="0" applyNumberFormat="1" applyFont="1" applyFill="1" applyBorder="1" applyAlignment="1">
      <alignment horizontal="right"/>
    </xf>
    <xf numFmtId="1" fontId="131" fillId="0" borderId="0" xfId="0" applyNumberFormat="1" applyFont="1" applyFill="1" applyBorder="1" applyAlignment="1">
      <alignment/>
    </xf>
    <xf numFmtId="0" fontId="135" fillId="0" borderId="29" xfId="0" applyFont="1" applyBorder="1" applyAlignment="1" applyProtection="1">
      <alignment horizontal="left" vertical="center"/>
      <protection hidden="1"/>
    </xf>
    <xf numFmtId="0" fontId="136" fillId="0" borderId="43" xfId="0" applyFont="1" applyFill="1" applyBorder="1" applyAlignment="1" applyProtection="1">
      <alignment/>
      <protection hidden="1"/>
    </xf>
    <xf numFmtId="168" fontId="136" fillId="0" borderId="73" xfId="0" applyNumberFormat="1" applyFont="1" applyFill="1" applyBorder="1" applyAlignment="1" applyProtection="1">
      <alignment/>
      <protection hidden="1"/>
    </xf>
    <xf numFmtId="1" fontId="136" fillId="0" borderId="0" xfId="0" applyNumberFormat="1" applyFont="1" applyFill="1" applyAlignment="1">
      <alignment/>
    </xf>
    <xf numFmtId="0" fontId="131" fillId="0" borderId="87" xfId="0" applyFont="1" applyFill="1" applyBorder="1" applyAlignment="1" applyProtection="1">
      <alignment horizontal="center" vertical="center"/>
      <protection/>
    </xf>
    <xf numFmtId="0" fontId="136" fillId="0" borderId="29" xfId="0" applyFont="1" applyFill="1" applyBorder="1" applyAlignment="1" applyProtection="1">
      <alignment/>
      <protection hidden="1"/>
    </xf>
    <xf numFmtId="0" fontId="136" fillId="0" borderId="0" xfId="0" applyFont="1" applyFill="1" applyBorder="1" applyAlignment="1" applyProtection="1">
      <alignment/>
      <protection hidden="1"/>
    </xf>
    <xf numFmtId="0" fontId="136" fillId="0" borderId="91" xfId="0" applyFont="1" applyFill="1" applyBorder="1" applyAlignment="1" applyProtection="1">
      <alignment/>
      <protection hidden="1"/>
    </xf>
    <xf numFmtId="3" fontId="135" fillId="0" borderId="0" xfId="0" applyNumberFormat="1" applyFont="1" applyFill="1" applyBorder="1" applyAlignment="1">
      <alignment/>
    </xf>
    <xf numFmtId="3" fontId="136" fillId="0" borderId="0" xfId="0" applyNumberFormat="1" applyFont="1" applyFill="1" applyBorder="1" applyAlignment="1">
      <alignment/>
    </xf>
    <xf numFmtId="168" fontId="141" fillId="0" borderId="73" xfId="0" applyNumberFormat="1" applyFont="1" applyFill="1" applyBorder="1" applyAlignment="1" applyProtection="1">
      <alignment/>
      <protection hidden="1"/>
    </xf>
    <xf numFmtId="0" fontId="141" fillId="0" borderId="0" xfId="0" applyFont="1" applyFill="1" applyBorder="1" applyAlignment="1">
      <alignment/>
    </xf>
    <xf numFmtId="168" fontId="136" fillId="0" borderId="0" xfId="0" applyNumberFormat="1" applyFont="1" applyFill="1" applyAlignment="1">
      <alignment/>
    </xf>
    <xf numFmtId="0" fontId="136" fillId="0" borderId="0" xfId="0" applyFont="1" applyFill="1" applyBorder="1" applyAlignment="1" applyProtection="1">
      <alignment horizontal="left"/>
      <protection hidden="1"/>
    </xf>
    <xf numFmtId="0" fontId="131" fillId="0" borderId="87" xfId="0" applyFont="1" applyFill="1" applyBorder="1" applyAlignment="1" applyProtection="1">
      <alignment horizontal="center"/>
      <protection/>
    </xf>
    <xf numFmtId="0" fontId="131" fillId="0" borderId="94" xfId="0" applyFont="1" applyFill="1" applyBorder="1" applyAlignment="1" applyProtection="1">
      <alignment horizontal="center" vertical="center"/>
      <protection/>
    </xf>
    <xf numFmtId="0" fontId="135" fillId="0" borderId="0" xfId="0" applyFont="1" applyFill="1" applyBorder="1" applyAlignment="1" applyProtection="1">
      <alignment vertical="center"/>
      <protection hidden="1"/>
    </xf>
    <xf numFmtId="0" fontId="135" fillId="0" borderId="90" xfId="0" applyFont="1" applyFill="1" applyBorder="1" applyAlignment="1" applyProtection="1">
      <alignment vertical="center"/>
      <protection hidden="1"/>
    </xf>
    <xf numFmtId="0" fontId="135" fillId="0" borderId="91" xfId="0" applyFont="1" applyFill="1" applyBorder="1" applyAlignment="1" applyProtection="1">
      <alignment vertical="center"/>
      <protection hidden="1"/>
    </xf>
    <xf numFmtId="176" fontId="141" fillId="0" borderId="65" xfId="0" applyNumberFormat="1" applyFont="1" applyFill="1" applyBorder="1" applyAlignment="1" applyProtection="1">
      <alignment vertical="center"/>
      <protection hidden="1"/>
    </xf>
    <xf numFmtId="0" fontId="135" fillId="0" borderId="95" xfId="0" applyFont="1" applyFill="1" applyBorder="1" applyAlignment="1" applyProtection="1">
      <alignment/>
      <protection hidden="1"/>
    </xf>
    <xf numFmtId="0" fontId="135" fillId="0" borderId="25" xfId="0" applyFont="1" applyFill="1" applyBorder="1" applyAlignment="1" applyProtection="1">
      <alignment/>
      <protection hidden="1"/>
    </xf>
    <xf numFmtId="0" fontId="135" fillId="0" borderId="96" xfId="0" applyFont="1" applyFill="1" applyBorder="1" applyAlignment="1" applyProtection="1">
      <alignment/>
      <protection hidden="1"/>
    </xf>
    <xf numFmtId="0" fontId="135" fillId="0" borderId="97" xfId="0" applyFont="1" applyFill="1" applyBorder="1" applyAlignment="1" applyProtection="1">
      <alignment/>
      <protection hidden="1"/>
    </xf>
    <xf numFmtId="0" fontId="135" fillId="0" borderId="93" xfId="0" applyFont="1" applyFill="1" applyBorder="1" applyAlignment="1" applyProtection="1">
      <alignment/>
      <protection hidden="1"/>
    </xf>
    <xf numFmtId="0" fontId="135" fillId="0" borderId="61" xfId="0" applyFont="1" applyFill="1" applyBorder="1" applyAlignment="1" applyProtection="1">
      <alignment/>
      <protection hidden="1" locked="0"/>
    </xf>
    <xf numFmtId="0" fontId="135" fillId="0" borderId="0" xfId="0" applyFont="1" applyFill="1" applyBorder="1" applyAlignment="1" applyProtection="1">
      <alignment/>
      <protection hidden="1" locked="0"/>
    </xf>
    <xf numFmtId="0" fontId="135" fillId="0" borderId="65" xfId="0" applyFont="1" applyFill="1" applyBorder="1" applyAlignment="1" applyProtection="1">
      <alignment/>
      <protection hidden="1" locked="0"/>
    </xf>
    <xf numFmtId="0" fontId="131" fillId="0" borderId="0" xfId="0" applyFont="1" applyFill="1" applyBorder="1" applyAlignment="1">
      <alignment horizontal="center"/>
    </xf>
    <xf numFmtId="0" fontId="172" fillId="0" borderId="0" xfId="0" applyFont="1" applyFill="1" applyBorder="1" applyAlignment="1">
      <alignment horizontal="center"/>
    </xf>
    <xf numFmtId="0" fontId="161" fillId="0" borderId="0" xfId="0" applyFont="1" applyFill="1" applyBorder="1" applyAlignment="1">
      <alignment/>
    </xf>
    <xf numFmtId="0" fontId="135" fillId="0" borderId="0" xfId="0" applyFont="1" applyFill="1" applyBorder="1" applyAlignment="1">
      <alignment horizontal="center"/>
    </xf>
    <xf numFmtId="0" fontId="136" fillId="0" borderId="0" xfId="0" applyFont="1" applyFill="1" applyBorder="1" applyAlignment="1">
      <alignment horizontal="center"/>
    </xf>
    <xf numFmtId="0" fontId="135" fillId="0" borderId="0" xfId="0" applyFont="1" applyFill="1" applyBorder="1" applyAlignment="1">
      <alignment/>
    </xf>
    <xf numFmtId="0" fontId="135" fillId="0" borderId="98" xfId="0" applyFont="1" applyFill="1" applyBorder="1" applyAlignment="1" applyProtection="1">
      <alignment horizontal="center"/>
      <protection hidden="1" locked="0"/>
    </xf>
    <xf numFmtId="0" fontId="135" fillId="0" borderId="26" xfId="0" applyFont="1" applyFill="1" applyBorder="1" applyAlignment="1" applyProtection="1">
      <alignment horizontal="center"/>
      <protection hidden="1" locked="0"/>
    </xf>
    <xf numFmtId="0" fontId="135" fillId="0" borderId="26" xfId="0" applyFont="1" applyFill="1" applyBorder="1" applyAlignment="1" applyProtection="1">
      <alignment/>
      <protection hidden="1" locked="0"/>
    </xf>
    <xf numFmtId="0" fontId="135" fillId="0" borderId="28" xfId="0" applyFont="1" applyFill="1" applyBorder="1" applyAlignment="1" applyProtection="1">
      <alignment horizontal="center"/>
      <protection hidden="1" locked="0"/>
    </xf>
    <xf numFmtId="0" fontId="137" fillId="0" borderId="0" xfId="0" applyFont="1" applyFill="1" applyBorder="1" applyAlignment="1">
      <alignment horizontal="center"/>
    </xf>
    <xf numFmtId="0" fontId="135" fillId="0" borderId="87" xfId="0" applyFont="1" applyFill="1" applyBorder="1" applyAlignment="1" applyProtection="1">
      <alignment horizontal="center"/>
      <protection hidden="1" locked="0"/>
    </xf>
    <xf numFmtId="0" fontId="135" fillId="0" borderId="29" xfId="0" applyFont="1" applyFill="1" applyBorder="1" applyAlignment="1" applyProtection="1">
      <alignment horizontal="center"/>
      <protection hidden="1" locked="0"/>
    </xf>
    <xf numFmtId="0" fontId="135" fillId="0" borderId="29" xfId="0" applyFont="1" applyFill="1" applyBorder="1" applyAlignment="1" applyProtection="1">
      <alignment/>
      <protection hidden="1" locked="0"/>
    </xf>
    <xf numFmtId="0" fontId="135" fillId="0" borderId="47" xfId="0" applyFont="1" applyFill="1" applyBorder="1" applyAlignment="1" applyProtection="1">
      <alignment horizontal="center"/>
      <protection hidden="1" locked="0"/>
    </xf>
    <xf numFmtId="0" fontId="135" fillId="0" borderId="94" xfId="0" applyFont="1" applyFill="1" applyBorder="1" applyAlignment="1" applyProtection="1">
      <alignment/>
      <protection hidden="1" locked="0"/>
    </xf>
    <xf numFmtId="0" fontId="135" fillId="0" borderId="48" xfId="0" applyFont="1" applyFill="1" applyBorder="1" applyAlignment="1" applyProtection="1">
      <alignment horizontal="center"/>
      <protection hidden="1" locked="0"/>
    </xf>
    <xf numFmtId="0" fontId="135" fillId="0" borderId="57" xfId="0" applyFont="1" applyFill="1" applyBorder="1" applyAlignment="1" applyProtection="1">
      <alignment horizontal="center"/>
      <protection hidden="1" locked="0"/>
    </xf>
    <xf numFmtId="0" fontId="137" fillId="0" borderId="94" xfId="0" applyFont="1" applyFill="1" applyBorder="1" applyAlignment="1" applyProtection="1">
      <alignment horizontal="center"/>
      <protection hidden="1" locked="0"/>
    </xf>
    <xf numFmtId="0" fontId="135" fillId="0" borderId="20" xfId="0" applyFont="1" applyFill="1" applyBorder="1" applyAlignment="1" applyProtection="1">
      <alignment horizontal="left" vertical="center"/>
      <protection locked="0"/>
    </xf>
    <xf numFmtId="0" fontId="135" fillId="0" borderId="48" xfId="0" applyFont="1" applyFill="1" applyBorder="1" applyAlignment="1" applyProtection="1">
      <alignment horizontal="left" vertical="center"/>
      <protection locked="0"/>
    </xf>
    <xf numFmtId="0" fontId="135" fillId="0" borderId="57" xfId="0" applyFont="1" applyFill="1" applyBorder="1" applyAlignment="1" applyProtection="1">
      <alignment horizontal="left" vertical="center"/>
      <protection locked="0"/>
    </xf>
    <xf numFmtId="0" fontId="135" fillId="0" borderId="23" xfId="0" applyFont="1" applyFill="1" applyBorder="1" applyAlignment="1" applyProtection="1">
      <alignment horizontal="left" vertical="center"/>
      <protection locked="0"/>
    </xf>
    <xf numFmtId="0" fontId="135" fillId="0" borderId="37" xfId="0" applyFont="1" applyFill="1" applyBorder="1" applyAlignment="1" applyProtection="1">
      <alignment horizontal="left" vertical="center"/>
      <protection locked="0"/>
    </xf>
    <xf numFmtId="0" fontId="135" fillId="0" borderId="24" xfId="0" applyFont="1" applyFill="1" applyBorder="1" applyAlignment="1" applyProtection="1">
      <alignment horizontal="left" vertical="center"/>
      <protection locked="0"/>
    </xf>
    <xf numFmtId="0" fontId="136" fillId="0" borderId="0" xfId="0" applyFont="1" applyFill="1" applyBorder="1" applyAlignment="1">
      <alignment/>
    </xf>
    <xf numFmtId="0" fontId="136" fillId="0" borderId="0" xfId="0" applyFont="1" applyFill="1" applyBorder="1" applyAlignment="1">
      <alignment horizontal="left"/>
    </xf>
    <xf numFmtId="0" fontId="161" fillId="0" borderId="0" xfId="0" applyFont="1" applyFill="1" applyBorder="1" applyAlignment="1">
      <alignment horizontal="center"/>
    </xf>
    <xf numFmtId="1" fontId="161" fillId="0" borderId="0" xfId="0" applyNumberFormat="1" applyFont="1" applyFill="1" applyBorder="1" applyAlignment="1">
      <alignment/>
    </xf>
    <xf numFmtId="0" fontId="161" fillId="0" borderId="0" xfId="0" applyFont="1" applyFill="1" applyBorder="1" applyAlignment="1">
      <alignment horizontal="right"/>
    </xf>
    <xf numFmtId="0" fontId="161" fillId="0" borderId="0" xfId="0" applyFont="1" applyFill="1" applyBorder="1" applyAlignment="1">
      <alignment horizontal="left"/>
    </xf>
    <xf numFmtId="0" fontId="141" fillId="0" borderId="0" xfId="0" applyFont="1" applyFill="1" applyBorder="1" applyAlignment="1">
      <alignment horizontal="left"/>
    </xf>
    <xf numFmtId="0" fontId="141" fillId="0" borderId="0" xfId="0" applyFont="1" applyFill="1" applyAlignment="1">
      <alignment/>
    </xf>
    <xf numFmtId="0" fontId="141" fillId="0" borderId="0" xfId="0" applyFont="1" applyFill="1" applyBorder="1" applyAlignment="1">
      <alignment/>
    </xf>
    <xf numFmtId="0" fontId="135" fillId="0" borderId="61" xfId="0" applyFont="1" applyFill="1" applyBorder="1" applyAlignment="1" applyProtection="1">
      <alignment horizontal="left"/>
      <protection hidden="1"/>
    </xf>
    <xf numFmtId="0" fontId="135" fillId="0" borderId="0" xfId="0" applyFont="1" applyFill="1" applyBorder="1" applyAlignment="1" applyProtection="1">
      <alignment horizontal="left"/>
      <protection hidden="1"/>
    </xf>
    <xf numFmtId="0" fontId="135" fillId="0" borderId="65" xfId="0" applyFont="1" applyFill="1" applyBorder="1" applyAlignment="1" applyProtection="1">
      <alignment horizontal="left"/>
      <protection hidden="1"/>
    </xf>
    <xf numFmtId="0" fontId="135" fillId="0" borderId="0" xfId="0" applyFont="1" applyFill="1" applyBorder="1" applyAlignment="1">
      <alignment horizontal="left"/>
    </xf>
    <xf numFmtId="0" fontId="135" fillId="0" borderId="61" xfId="0" applyFont="1" applyFill="1" applyBorder="1" applyAlignment="1" applyProtection="1">
      <alignment/>
      <protection hidden="1"/>
    </xf>
    <xf numFmtId="0" fontId="135" fillId="0" borderId="65" xfId="0" applyFont="1" applyFill="1" applyBorder="1" applyAlignment="1" applyProtection="1">
      <alignment/>
      <protection hidden="1"/>
    </xf>
    <xf numFmtId="0" fontId="136" fillId="0" borderId="61" xfId="0" applyFont="1" applyFill="1" applyBorder="1" applyAlignment="1" applyProtection="1">
      <alignment/>
      <protection hidden="1"/>
    </xf>
    <xf numFmtId="0" fontId="136" fillId="0" borderId="0" xfId="0" applyFont="1" applyFill="1" applyBorder="1" applyAlignment="1" applyProtection="1">
      <alignment horizontal="center"/>
      <protection hidden="1"/>
    </xf>
    <xf numFmtId="0" fontId="136" fillId="0" borderId="65" xfId="0" applyFont="1" applyFill="1" applyBorder="1" applyAlignment="1" applyProtection="1">
      <alignment/>
      <protection hidden="1"/>
    </xf>
    <xf numFmtId="0" fontId="161" fillId="0" borderId="0" xfId="0" applyFont="1" applyFill="1" applyBorder="1" applyAlignment="1">
      <alignment/>
    </xf>
    <xf numFmtId="0" fontId="136" fillId="0" borderId="0" xfId="0" applyFont="1" applyFill="1" applyBorder="1" applyAlignment="1" applyProtection="1">
      <alignment horizontal="right"/>
      <protection hidden="1"/>
    </xf>
    <xf numFmtId="0" fontId="136" fillId="0" borderId="65" xfId="0" applyFont="1" applyFill="1" applyBorder="1" applyAlignment="1" applyProtection="1">
      <alignment/>
      <protection hidden="1"/>
    </xf>
    <xf numFmtId="0" fontId="136" fillId="0" borderId="0" xfId="0" applyFont="1" applyFill="1" applyAlignment="1" applyProtection="1">
      <alignment/>
      <protection hidden="1"/>
    </xf>
    <xf numFmtId="0" fontId="136" fillId="0" borderId="65" xfId="0" applyFont="1" applyFill="1" applyBorder="1" applyAlignment="1" applyProtection="1">
      <alignment horizontal="left"/>
      <protection hidden="1"/>
    </xf>
    <xf numFmtId="49" fontId="136" fillId="0" borderId="0" xfId="0" applyNumberFormat="1" applyFont="1" applyFill="1" applyBorder="1" applyAlignment="1" applyProtection="1">
      <alignment horizontal="left"/>
      <protection hidden="1"/>
    </xf>
    <xf numFmtId="0" fontId="135" fillId="0" borderId="74" xfId="0" applyFont="1" applyFill="1" applyBorder="1" applyAlignment="1" applyProtection="1">
      <alignment/>
      <protection hidden="1"/>
    </xf>
    <xf numFmtId="0" fontId="135" fillId="0" borderId="75" xfId="0" applyFont="1" applyFill="1" applyBorder="1" applyAlignment="1" applyProtection="1">
      <alignment/>
      <protection hidden="1"/>
    </xf>
    <xf numFmtId="0" fontId="135" fillId="0" borderId="76" xfId="0" applyFont="1" applyFill="1" applyBorder="1" applyAlignment="1" applyProtection="1">
      <alignment/>
      <protection hidden="1"/>
    </xf>
    <xf numFmtId="0" fontId="135" fillId="0" borderId="77" xfId="0" applyFont="1" applyFill="1" applyBorder="1" applyAlignment="1" applyProtection="1">
      <alignment horizontal="center"/>
      <protection hidden="1"/>
    </xf>
    <xf numFmtId="0" fontId="171" fillId="0" borderId="77" xfId="0" applyFont="1" applyFill="1" applyBorder="1" applyAlignment="1" applyProtection="1">
      <alignment horizontal="center"/>
      <protection hidden="1"/>
    </xf>
    <xf numFmtId="0" fontId="161" fillId="0" borderId="0" xfId="0" applyFont="1" applyFill="1" applyAlignment="1">
      <alignment/>
    </xf>
    <xf numFmtId="0" fontId="136" fillId="0" borderId="0" xfId="0" applyFont="1" applyFill="1" applyBorder="1" applyAlignment="1" applyProtection="1">
      <alignment horizontal="center" vertical="center"/>
      <protection hidden="1"/>
    </xf>
    <xf numFmtId="168" fontId="168" fillId="0" borderId="0" xfId="0" applyNumberFormat="1"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0" fontId="1" fillId="0" borderId="0" xfId="198" applyFill="1" applyBorder="1" applyAlignment="1" applyProtection="1">
      <alignment horizontal="center" vertical="center"/>
      <protection hidden="1"/>
    </xf>
    <xf numFmtId="0" fontId="1" fillId="0" borderId="0" xfId="198" applyFont="1" applyFill="1" applyBorder="1" applyAlignment="1" applyProtection="1">
      <alignment horizontal="center" vertical="center"/>
      <protection hidden="1"/>
    </xf>
    <xf numFmtId="0" fontId="27" fillId="0" borderId="0" xfId="198" applyFont="1" applyFill="1" applyBorder="1" applyAlignment="1" applyProtection="1">
      <alignment horizontal="left" vertical="center"/>
      <protection hidden="1"/>
    </xf>
    <xf numFmtId="0" fontId="24" fillId="0" borderId="0" xfId="198" applyFont="1" applyFill="1" applyBorder="1" applyAlignment="1" applyProtection="1">
      <alignment horizontal="center" vertical="center"/>
      <protection hidden="1"/>
    </xf>
    <xf numFmtId="0" fontId="28" fillId="0" borderId="0" xfId="198" applyFont="1" applyFill="1" applyBorder="1" applyAlignment="1" applyProtection="1">
      <alignment horizontal="center" vertical="center"/>
      <protection hidden="1"/>
    </xf>
    <xf numFmtId="1" fontId="28" fillId="0" borderId="0" xfId="198" applyNumberFormat="1" applyFont="1" applyFill="1" applyBorder="1" applyAlignment="1" applyProtection="1">
      <alignment horizontal="center" vertical="center"/>
      <protection/>
    </xf>
    <xf numFmtId="0" fontId="28" fillId="0" borderId="0" xfId="198" applyFont="1" applyFill="1" applyBorder="1" applyAlignment="1" applyProtection="1">
      <alignment horizontal="left" vertical="center"/>
      <protection/>
    </xf>
    <xf numFmtId="0" fontId="28" fillId="0" borderId="0" xfId="198" applyFont="1" applyFill="1" applyBorder="1" applyAlignment="1" applyProtection="1">
      <alignment horizontal="left" vertical="center"/>
      <protection hidden="1"/>
    </xf>
    <xf numFmtId="0" fontId="0" fillId="0" borderId="26" xfId="0" applyFill="1" applyBorder="1" applyAlignment="1">
      <alignment vertical="center"/>
    </xf>
    <xf numFmtId="0" fontId="0" fillId="0" borderId="27" xfId="0" applyFill="1" applyBorder="1" applyAlignment="1">
      <alignment vertical="center"/>
    </xf>
    <xf numFmtId="0" fontId="0" fillId="0" borderId="27" xfId="0" applyFill="1" applyBorder="1" applyAlignment="1">
      <alignment/>
    </xf>
    <xf numFmtId="0" fontId="0" fillId="0" borderId="28" xfId="0" applyFill="1" applyBorder="1" applyAlignment="1">
      <alignment/>
    </xf>
    <xf numFmtId="0" fontId="0" fillId="0" borderId="29" xfId="0" applyFill="1" applyBorder="1" applyAlignment="1">
      <alignment vertical="center"/>
    </xf>
    <xf numFmtId="0" fontId="0" fillId="0" borderId="0" xfId="0" applyFill="1" applyBorder="1" applyAlignment="1">
      <alignment vertical="center"/>
    </xf>
    <xf numFmtId="0" fontId="0" fillId="0" borderId="0" xfId="0" applyFill="1" applyAlignment="1">
      <alignment horizontal="center"/>
    </xf>
    <xf numFmtId="0" fontId="175" fillId="0" borderId="29" xfId="0" applyFont="1" applyFill="1" applyBorder="1" applyAlignment="1" applyProtection="1">
      <alignment vertical="center"/>
      <protection hidden="1"/>
    </xf>
    <xf numFmtId="0" fontId="175" fillId="0" borderId="0" xfId="0" applyFont="1" applyFill="1" applyBorder="1" applyAlignment="1" applyProtection="1">
      <alignment vertical="center"/>
      <protection hidden="1"/>
    </xf>
    <xf numFmtId="0" fontId="0" fillId="0" borderId="0" xfId="0" applyFill="1" applyBorder="1" applyAlignment="1" applyProtection="1">
      <alignment/>
      <protection hidden="1"/>
    </xf>
    <xf numFmtId="0" fontId="0" fillId="0" borderId="47" xfId="0" applyFill="1" applyBorder="1" applyAlignment="1" applyProtection="1">
      <alignment/>
      <protection hidden="1"/>
    </xf>
    <xf numFmtId="0" fontId="0" fillId="0" borderId="29" xfId="0" applyFill="1" applyBorder="1" applyAlignment="1" applyProtection="1">
      <alignment vertical="center"/>
      <protection hidden="1"/>
    </xf>
    <xf numFmtId="0" fontId="175" fillId="0" borderId="0" xfId="0" applyFont="1" applyFill="1" applyBorder="1" applyAlignment="1" applyProtection="1">
      <alignment horizontal="center" vertical="center"/>
      <protection hidden="1"/>
    </xf>
    <xf numFmtId="0" fontId="0" fillId="0" borderId="0" xfId="0" applyFill="1" applyBorder="1" applyAlignment="1" applyProtection="1">
      <alignment vertical="center"/>
      <protection hidden="1"/>
    </xf>
    <xf numFmtId="0" fontId="176" fillId="0" borderId="29" xfId="0" applyFont="1" applyFill="1" applyBorder="1" applyAlignment="1" applyProtection="1">
      <alignment vertical="center"/>
      <protection hidden="1"/>
    </xf>
    <xf numFmtId="3" fontId="124" fillId="0" borderId="0" xfId="0" applyNumberFormat="1" applyFont="1" applyFill="1" applyBorder="1" applyAlignment="1" applyProtection="1">
      <alignment/>
      <protection hidden="1"/>
    </xf>
    <xf numFmtId="0" fontId="176" fillId="0" borderId="0" xfId="0" applyFont="1" applyFill="1" applyBorder="1" applyAlignment="1" applyProtection="1">
      <alignment vertical="center" wrapText="1"/>
      <protection hidden="1"/>
    </xf>
    <xf numFmtId="0" fontId="177" fillId="0" borderId="29" xfId="0" applyFont="1" applyFill="1" applyBorder="1" applyAlignment="1" applyProtection="1">
      <alignment vertical="center"/>
      <protection hidden="1"/>
    </xf>
    <xf numFmtId="0" fontId="178" fillId="0" borderId="0" xfId="0" applyFont="1" applyFill="1" applyBorder="1" applyAlignment="1" applyProtection="1">
      <alignment vertical="center"/>
      <protection hidden="1"/>
    </xf>
    <xf numFmtId="0" fontId="24" fillId="0" borderId="42" xfId="0" applyFont="1" applyFill="1" applyBorder="1" applyAlignment="1">
      <alignment vertical="center" wrapText="1"/>
    </xf>
    <xf numFmtId="0" fontId="107" fillId="7" borderId="20" xfId="0" applyFont="1" applyFill="1" applyBorder="1" applyAlignment="1">
      <alignment horizontal="center" vertical="center" wrapText="1"/>
    </xf>
    <xf numFmtId="0" fontId="0" fillId="7" borderId="20" xfId="0" applyFont="1" applyFill="1" applyBorder="1" applyAlignment="1">
      <alignment horizontal="center" vertical="center" wrapText="1"/>
    </xf>
    <xf numFmtId="0" fontId="175" fillId="0" borderId="0" xfId="0" applyFont="1" applyFill="1" applyBorder="1" applyAlignment="1" applyProtection="1">
      <alignment horizontal="right" vertical="center"/>
      <protection hidden="1"/>
    </xf>
    <xf numFmtId="0" fontId="56" fillId="0" borderId="29" xfId="0" applyFont="1" applyFill="1" applyBorder="1" applyAlignment="1" applyProtection="1">
      <alignment vertical="center"/>
      <protection hidden="1"/>
    </xf>
    <xf numFmtId="0" fontId="179" fillId="0" borderId="0" xfId="0" applyFont="1" applyFill="1" applyBorder="1" applyAlignment="1" applyProtection="1">
      <alignment horizontal="left" vertical="center"/>
      <protection hidden="1"/>
    </xf>
    <xf numFmtId="0" fontId="0" fillId="0" borderId="48" xfId="0" applyFill="1" applyBorder="1" applyAlignment="1" applyProtection="1">
      <alignment vertical="center"/>
      <protection hidden="1"/>
    </xf>
    <xf numFmtId="0" fontId="175" fillId="0" borderId="42" xfId="0" applyFont="1" applyFill="1" applyBorder="1" applyAlignment="1" applyProtection="1">
      <alignment vertical="center"/>
      <protection hidden="1"/>
    </xf>
    <xf numFmtId="0" fontId="0" fillId="0" borderId="42" xfId="0" applyFill="1" applyBorder="1" applyAlignment="1" applyProtection="1">
      <alignment vertical="center"/>
      <protection hidden="1"/>
    </xf>
    <xf numFmtId="0" fontId="0" fillId="0" borderId="42" xfId="0" applyFill="1" applyBorder="1" applyAlignment="1" applyProtection="1">
      <alignment/>
      <protection hidden="1"/>
    </xf>
    <xf numFmtId="0" fontId="0" fillId="0" borderId="57" xfId="0" applyFill="1" applyBorder="1" applyAlignment="1" applyProtection="1">
      <alignment/>
      <protection hidden="1"/>
    </xf>
    <xf numFmtId="0" fontId="0" fillId="0" borderId="27" xfId="0" applyFill="1" applyBorder="1" applyAlignment="1" applyProtection="1">
      <alignment vertical="center"/>
      <protection locked="0"/>
    </xf>
    <xf numFmtId="0" fontId="0" fillId="0" borderId="27" xfId="0" applyFill="1" applyBorder="1" applyAlignment="1" applyProtection="1">
      <alignment/>
      <protection locked="0"/>
    </xf>
    <xf numFmtId="0" fontId="0" fillId="0" borderId="0" xfId="0" applyFill="1" applyBorder="1" applyAlignment="1" applyProtection="1">
      <alignment vertical="center"/>
      <protection locked="0"/>
    </xf>
    <xf numFmtId="0" fontId="142" fillId="0" borderId="0" xfId="0" applyFont="1" applyAlignment="1">
      <alignment/>
    </xf>
    <xf numFmtId="0" fontId="95" fillId="0" borderId="0" xfId="0" applyFont="1" applyAlignment="1">
      <alignment/>
    </xf>
    <xf numFmtId="0" fontId="72" fillId="0" borderId="0" xfId="0" applyFont="1" applyAlignment="1">
      <alignment/>
    </xf>
    <xf numFmtId="0" fontId="24" fillId="0" borderId="0" xfId="0" applyFont="1" applyAlignment="1">
      <alignment/>
    </xf>
    <xf numFmtId="0" fontId="142" fillId="0" borderId="0" xfId="0" applyFont="1" applyAlignment="1">
      <alignment/>
    </xf>
    <xf numFmtId="0" fontId="142" fillId="0" borderId="0" xfId="0" applyFont="1" applyAlignment="1">
      <alignment horizontal="center"/>
    </xf>
    <xf numFmtId="0" fontId="142" fillId="0" borderId="0" xfId="0" applyFont="1" applyAlignment="1">
      <alignment horizontal="left"/>
    </xf>
    <xf numFmtId="0" fontId="28" fillId="0" borderId="0" xfId="0" applyFont="1" applyAlignment="1">
      <alignment horizontal="center"/>
    </xf>
    <xf numFmtId="0" fontId="181" fillId="0" borderId="0" xfId="0" applyFont="1" applyAlignment="1">
      <alignment horizontal="left"/>
    </xf>
    <xf numFmtId="0" fontId="182" fillId="0" borderId="0" xfId="0" applyFont="1" applyAlignment="1">
      <alignment horizontal="left"/>
    </xf>
    <xf numFmtId="0" fontId="182" fillId="0" borderId="0" xfId="0" applyFont="1" applyAlignment="1">
      <alignment/>
    </xf>
    <xf numFmtId="0" fontId="183" fillId="0" borderId="0" xfId="0" applyFont="1" applyAlignment="1">
      <alignment wrapText="1"/>
    </xf>
    <xf numFmtId="0" fontId="181" fillId="0" borderId="0" xfId="0" applyFont="1" applyAlignment="1">
      <alignment horizontal="left" vertical="center"/>
    </xf>
    <xf numFmtId="0" fontId="185" fillId="0" borderId="0" xfId="0" applyFont="1" applyAlignment="1">
      <alignment horizontal="left"/>
    </xf>
    <xf numFmtId="0" fontId="181" fillId="0" borderId="0" xfId="0" applyFont="1" applyAlignment="1">
      <alignment/>
    </xf>
    <xf numFmtId="0" fontId="182" fillId="0" borderId="99" xfId="0" applyFont="1" applyBorder="1" applyAlignment="1">
      <alignment horizontal="left" wrapText="1"/>
    </xf>
    <xf numFmtId="0" fontId="182" fillId="0" borderId="100" xfId="0" applyFont="1" applyBorder="1" applyAlignment="1">
      <alignment horizontal="left" wrapText="1"/>
    </xf>
    <xf numFmtId="0" fontId="181" fillId="0" borderId="99" xfId="0" applyFont="1" applyBorder="1" applyAlignment="1">
      <alignment horizontal="left" vertical="top" wrapText="1"/>
    </xf>
    <xf numFmtId="0" fontId="181" fillId="0" borderId="100" xfId="0" applyFont="1" applyBorder="1" applyAlignment="1">
      <alignment horizontal="left" vertical="top" wrapText="1"/>
    </xf>
    <xf numFmtId="0" fontId="181" fillId="0" borderId="99" xfId="0" applyFont="1" applyBorder="1" applyAlignment="1">
      <alignment horizontal="left" wrapText="1"/>
    </xf>
    <xf numFmtId="0" fontId="181" fillId="0" borderId="0" xfId="0" applyFont="1" applyAlignment="1">
      <alignment horizontal="left" indent="15"/>
    </xf>
    <xf numFmtId="0" fontId="27" fillId="0" borderId="46" xfId="0"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0" fillId="46" borderId="88" xfId="0" applyFill="1" applyBorder="1" applyAlignment="1" applyProtection="1">
      <alignment horizontal="left" vertical="center"/>
      <protection hidden="1"/>
    </xf>
    <xf numFmtId="0" fontId="0" fillId="46" borderId="0" xfId="0" applyFill="1" applyBorder="1" applyAlignment="1" applyProtection="1">
      <alignment horizontal="left" vertical="center"/>
      <protection hidden="1"/>
    </xf>
    <xf numFmtId="0" fontId="0" fillId="46" borderId="44" xfId="0" applyFont="1" applyFill="1" applyBorder="1" applyAlignment="1" applyProtection="1">
      <alignment horizontal="left" vertical="center"/>
      <protection hidden="1"/>
    </xf>
    <xf numFmtId="0" fontId="28" fillId="0" borderId="44" xfId="0" applyFont="1" applyFill="1" applyBorder="1" applyAlignment="1" applyProtection="1">
      <alignment horizontal="center" vertical="center"/>
      <protection/>
    </xf>
    <xf numFmtId="0" fontId="27" fillId="63" borderId="43" xfId="0" applyFont="1" applyFill="1" applyBorder="1" applyAlignment="1" applyProtection="1">
      <alignment vertical="center"/>
      <protection hidden="1"/>
    </xf>
    <xf numFmtId="0" fontId="27" fillId="63" borderId="35" xfId="0" applyFont="1" applyFill="1" applyBorder="1" applyAlignment="1" applyProtection="1">
      <alignment vertical="center"/>
      <protection hidden="1"/>
    </xf>
    <xf numFmtId="0" fontId="27" fillId="0" borderId="89" xfId="0" applyFont="1" applyFill="1" applyBorder="1" applyAlignment="1" applyProtection="1">
      <alignment vertical="center"/>
      <protection hidden="1"/>
    </xf>
    <xf numFmtId="0" fontId="0" fillId="46" borderId="44" xfId="0" applyFont="1" applyFill="1" applyBorder="1" applyAlignment="1" applyProtection="1">
      <alignment horizontal="left" vertical="center" wrapText="1"/>
      <protection hidden="1"/>
    </xf>
    <xf numFmtId="0" fontId="28" fillId="0" borderId="44" xfId="0" applyFont="1" applyFill="1" applyBorder="1" applyAlignment="1" applyProtection="1">
      <alignment horizontal="center" vertical="center"/>
      <protection hidden="1"/>
    </xf>
    <xf numFmtId="0" fontId="186" fillId="0" borderId="0" xfId="0" applyFont="1" applyAlignment="1">
      <alignment horizontal="center" wrapText="1"/>
    </xf>
    <xf numFmtId="0" fontId="187" fillId="0" borderId="0" xfId="0" applyFont="1" applyAlignment="1">
      <alignment/>
    </xf>
    <xf numFmtId="0" fontId="186" fillId="0" borderId="0" xfId="0" applyFont="1" applyAlignment="1">
      <alignment/>
    </xf>
    <xf numFmtId="0" fontId="186" fillId="0" borderId="0" xfId="0" applyFont="1" applyAlignment="1">
      <alignment horizontal="left" wrapText="1" indent="1"/>
    </xf>
    <xf numFmtId="0" fontId="187" fillId="0" borderId="0" xfId="0" applyFont="1" applyAlignment="1">
      <alignment horizontal="left" wrapText="1" indent="1"/>
    </xf>
    <xf numFmtId="0" fontId="48" fillId="0" borderId="0" xfId="153" applyNumberFormat="1" applyFont="1" applyFill="1" applyBorder="1" applyAlignment="1" applyProtection="1">
      <alignment/>
      <protection/>
    </xf>
    <xf numFmtId="0" fontId="0" fillId="0" borderId="0" xfId="0" applyFill="1" applyAlignment="1" applyProtection="1">
      <alignment vertical="center"/>
      <protection hidden="1" locked="0"/>
    </xf>
    <xf numFmtId="0" fontId="0" fillId="0" borderId="0" xfId="0" applyFill="1" applyAlignment="1" applyProtection="1">
      <alignment/>
      <protection hidden="1" locked="0"/>
    </xf>
    <xf numFmtId="0" fontId="0" fillId="0" borderId="0" xfId="0" applyFill="1" applyAlignment="1" applyProtection="1">
      <alignment horizontal="center" vertical="center"/>
      <protection hidden="1" locked="0"/>
    </xf>
    <xf numFmtId="0" fontId="53" fillId="0" borderId="61" xfId="0" applyFont="1" applyFill="1" applyBorder="1" applyAlignment="1" applyProtection="1">
      <alignment vertical="center"/>
      <protection hidden="1" locked="0"/>
    </xf>
    <xf numFmtId="0" fontId="53" fillId="0" borderId="65" xfId="0" applyFont="1" applyFill="1" applyBorder="1" applyAlignment="1" applyProtection="1">
      <alignment horizontal="center" vertical="center"/>
      <protection hidden="1" locked="0"/>
    </xf>
    <xf numFmtId="0" fontId="53" fillId="0" borderId="0" xfId="0" applyFont="1" applyFill="1" applyAlignment="1" applyProtection="1">
      <alignment horizontal="center" vertical="center"/>
      <protection hidden="1" locked="0"/>
    </xf>
    <xf numFmtId="0" fontId="193" fillId="0" borderId="101" xfId="0" applyFont="1" applyFill="1" applyBorder="1" applyAlignment="1" applyProtection="1">
      <alignment vertical="center"/>
      <protection hidden="1" locked="0"/>
    </xf>
    <xf numFmtId="0" fontId="193" fillId="0" borderId="102" xfId="0" applyFont="1" applyFill="1" applyBorder="1" applyAlignment="1" applyProtection="1">
      <alignment horizontal="center" vertical="center"/>
      <protection hidden="1"/>
    </xf>
    <xf numFmtId="0" fontId="56" fillId="0" borderId="24" xfId="0" applyFont="1" applyFill="1" applyBorder="1" applyAlignment="1" applyProtection="1">
      <alignment horizontal="left" vertical="center"/>
      <protection hidden="1"/>
    </xf>
    <xf numFmtId="0" fontId="56" fillId="0" borderId="20" xfId="0" applyFont="1" applyFill="1" applyBorder="1" applyAlignment="1" applyProtection="1">
      <alignment horizontal="left" vertical="center"/>
      <protection hidden="1"/>
    </xf>
    <xf numFmtId="0" fontId="0" fillId="0" borderId="0" xfId="0" applyFill="1" applyAlignment="1" applyProtection="1">
      <alignment/>
      <protection hidden="1"/>
    </xf>
    <xf numFmtId="0" fontId="194" fillId="0" borderId="101" xfId="0" applyFont="1" applyFill="1" applyBorder="1" applyAlignment="1" applyProtection="1">
      <alignment vertical="center"/>
      <protection hidden="1" locked="0"/>
    </xf>
    <xf numFmtId="0" fontId="194" fillId="0" borderId="102" xfId="0" applyFont="1" applyFill="1" applyBorder="1" applyAlignment="1" applyProtection="1">
      <alignment/>
      <protection hidden="1"/>
    </xf>
    <xf numFmtId="0" fontId="53" fillId="0" borderId="24" xfId="0" applyFont="1" applyFill="1" applyBorder="1" applyAlignment="1" applyProtection="1">
      <alignment horizontal="center" vertical="center"/>
      <protection hidden="1"/>
    </xf>
    <xf numFmtId="0" fontId="53" fillId="0" borderId="20" xfId="0" applyFont="1" applyFill="1" applyBorder="1" applyAlignment="1" applyProtection="1">
      <alignment horizontal="center" vertical="center"/>
      <protection hidden="1"/>
    </xf>
    <xf numFmtId="3" fontId="194" fillId="0" borderId="101" xfId="0" applyNumberFormat="1" applyFont="1" applyFill="1" applyBorder="1" applyAlignment="1" applyProtection="1">
      <alignment vertical="center"/>
      <protection hidden="1" locked="0"/>
    </xf>
    <xf numFmtId="168" fontId="194" fillId="0" borderId="101" xfId="0" applyNumberFormat="1" applyFont="1" applyFill="1" applyBorder="1" applyAlignment="1" applyProtection="1">
      <alignment vertical="center"/>
      <protection hidden="1" locked="0"/>
    </xf>
    <xf numFmtId="0" fontId="194" fillId="0" borderId="101" xfId="0" applyFont="1" applyFill="1" applyBorder="1" applyAlignment="1" applyProtection="1">
      <alignment vertical="center"/>
      <protection hidden="1"/>
    </xf>
    <xf numFmtId="0" fontId="104" fillId="13" borderId="20" xfId="0" applyFont="1" applyFill="1" applyBorder="1" applyAlignment="1" applyProtection="1">
      <alignment horizontal="center" vertical="center"/>
      <protection hidden="1"/>
    </xf>
    <xf numFmtId="0" fontId="195" fillId="48" borderId="0" xfId="0" applyFont="1" applyFill="1" applyAlignment="1" applyProtection="1">
      <alignment horizontal="left" vertical="center"/>
      <protection hidden="1"/>
    </xf>
    <xf numFmtId="0" fontId="104" fillId="64" borderId="20" xfId="0" applyFont="1" applyFill="1" applyBorder="1" applyAlignment="1" applyProtection="1">
      <alignment horizontal="center" vertical="center"/>
      <protection hidden="1" locked="0"/>
    </xf>
    <xf numFmtId="0" fontId="198" fillId="48" borderId="23" xfId="0" applyFont="1" applyFill="1" applyBorder="1" applyAlignment="1" applyProtection="1">
      <alignment/>
      <protection hidden="1"/>
    </xf>
    <xf numFmtId="0" fontId="123" fillId="48" borderId="25" xfId="0" applyFont="1" applyFill="1" applyBorder="1" applyAlignment="1" applyProtection="1">
      <alignment/>
      <protection hidden="1"/>
    </xf>
    <xf numFmtId="0" fontId="0" fillId="48" borderId="24" xfId="0" applyFill="1" applyBorder="1" applyAlignment="1" applyProtection="1">
      <alignment/>
      <protection hidden="1"/>
    </xf>
    <xf numFmtId="0" fontId="0" fillId="65" borderId="0" xfId="0" applyFill="1" applyAlignment="1" applyProtection="1">
      <alignment/>
      <protection hidden="1"/>
    </xf>
    <xf numFmtId="0" fontId="200" fillId="31" borderId="20" xfId="0" applyFont="1" applyFill="1" applyBorder="1" applyAlignment="1" applyProtection="1">
      <alignment horizontal="center" vertical="center"/>
      <protection hidden="1"/>
    </xf>
    <xf numFmtId="0" fontId="0" fillId="52" borderId="20" xfId="0" applyFill="1" applyBorder="1" applyAlignment="1" applyProtection="1">
      <alignment horizontal="left" vertical="center" wrapText="1"/>
      <protection locked="0"/>
    </xf>
    <xf numFmtId="49" fontId="0" fillId="15" borderId="20" xfId="0" applyNumberFormat="1" applyFill="1" applyBorder="1" applyAlignment="1" applyProtection="1">
      <alignment horizontal="left" vertical="center" wrapText="1"/>
      <protection locked="0"/>
    </xf>
    <xf numFmtId="0" fontId="0" fillId="23" borderId="20" xfId="0" applyFill="1" applyBorder="1" applyAlignment="1" applyProtection="1">
      <alignment horizontal="left" vertical="center" wrapText="1"/>
      <protection locked="0"/>
    </xf>
    <xf numFmtId="0" fontId="0" fillId="15" borderId="20" xfId="0" applyFill="1" applyBorder="1" applyAlignment="1" applyProtection="1">
      <alignment horizontal="left" vertical="center" wrapText="1"/>
      <protection locked="0"/>
    </xf>
    <xf numFmtId="0" fontId="0" fillId="13" borderId="20" xfId="0" applyFill="1" applyBorder="1" applyAlignment="1" applyProtection="1">
      <alignment horizontal="left" vertical="center" wrapText="1"/>
      <protection locked="0"/>
    </xf>
    <xf numFmtId="0" fontId="20" fillId="66" borderId="29" xfId="0" applyFont="1" applyFill="1" applyBorder="1" applyAlignment="1">
      <alignment horizontal="center"/>
    </xf>
    <xf numFmtId="0" fontId="22" fillId="11" borderId="29" xfId="0" applyFont="1" applyFill="1" applyBorder="1" applyAlignment="1">
      <alignment horizontal="center" vertical="center" wrapText="1"/>
    </xf>
    <xf numFmtId="0" fontId="18" fillId="19" borderId="29" xfId="0" applyFont="1" applyFill="1" applyBorder="1" applyAlignment="1">
      <alignment horizontal="center" vertical="center" wrapText="1"/>
    </xf>
    <xf numFmtId="0" fontId="28" fillId="23" borderId="29" xfId="0" applyFont="1" applyFill="1" applyBorder="1" applyAlignment="1">
      <alignment horizontal="justify" vertical="center" wrapText="1"/>
    </xf>
    <xf numFmtId="0" fontId="29" fillId="0" borderId="103" xfId="0" applyFont="1" applyBorder="1" applyAlignment="1">
      <alignment horizontal="left" wrapText="1"/>
    </xf>
    <xf numFmtId="0" fontId="30" fillId="55" borderId="22" xfId="0" applyFont="1" applyFill="1" applyBorder="1" applyAlignment="1">
      <alignment horizontal="center" vertical="top" wrapText="1"/>
    </xf>
    <xf numFmtId="0" fontId="30" fillId="55" borderId="22" xfId="0" applyFont="1" applyFill="1" applyBorder="1" applyAlignment="1">
      <alignment horizontal="left" vertical="top" wrapText="1"/>
    </xf>
    <xf numFmtId="0" fontId="33" fillId="0" borderId="0" xfId="0" applyFont="1" applyBorder="1" applyAlignment="1">
      <alignment horizontal="left" vertical="center" wrapText="1"/>
    </xf>
    <xf numFmtId="0" fontId="33" fillId="0" borderId="0" xfId="0" applyFont="1" applyBorder="1" applyAlignment="1">
      <alignment horizontal="justify" vertical="center" wrapText="1"/>
    </xf>
    <xf numFmtId="0" fontId="34" fillId="0" borderId="0" xfId="0" applyFont="1" applyBorder="1" applyAlignment="1">
      <alignment horizontal="left" vertical="center" wrapText="1"/>
    </xf>
    <xf numFmtId="0" fontId="35" fillId="0" borderId="0" xfId="0" applyFont="1" applyBorder="1" applyAlignment="1">
      <alignment horizontal="justify" vertical="center" wrapText="1"/>
    </xf>
    <xf numFmtId="0" fontId="30" fillId="0" borderId="0" xfId="0" applyFont="1" applyFill="1" applyBorder="1" applyAlignment="1">
      <alignment horizontal="center" vertical="top" wrapText="1"/>
    </xf>
    <xf numFmtId="0" fontId="37" fillId="0" borderId="0" xfId="0" applyFont="1" applyBorder="1" applyAlignment="1">
      <alignment horizontal="justify" vertical="center" wrapText="1"/>
    </xf>
    <xf numFmtId="0" fontId="34" fillId="0" borderId="0" xfId="0" applyFont="1" applyBorder="1" applyAlignment="1">
      <alignment horizontal="justify" vertical="center" wrapText="1"/>
    </xf>
    <xf numFmtId="0" fontId="41" fillId="0" borderId="0" xfId="0" applyFont="1" applyBorder="1" applyAlignment="1">
      <alignment horizontal="justify" vertical="center" wrapText="1"/>
    </xf>
    <xf numFmtId="0" fontId="53" fillId="7" borderId="0" xfId="0" applyFont="1" applyFill="1" applyBorder="1" applyAlignment="1">
      <alignment horizontal="center"/>
    </xf>
    <xf numFmtId="0" fontId="54" fillId="46" borderId="42" xfId="0" applyFont="1" applyFill="1" applyBorder="1" applyAlignment="1">
      <alignment horizontal="left" vertical="center"/>
    </xf>
    <xf numFmtId="0" fontId="55" fillId="52" borderId="20" xfId="0" applyFont="1" applyFill="1" applyBorder="1" applyAlignment="1">
      <alignment horizontal="center" vertical="center"/>
    </xf>
    <xf numFmtId="164" fontId="54" fillId="9" borderId="20" xfId="0" applyNumberFormat="1" applyFont="1" applyFill="1" applyBorder="1" applyAlignment="1">
      <alignment horizontal="center" vertical="center"/>
    </xf>
    <xf numFmtId="164" fontId="54" fillId="13" borderId="20" xfId="0" applyNumberFormat="1" applyFont="1" applyFill="1" applyBorder="1" applyAlignment="1">
      <alignment horizontal="center" vertical="center"/>
    </xf>
    <xf numFmtId="3" fontId="55" fillId="56" borderId="20" xfId="0" applyNumberFormat="1" applyFont="1" applyFill="1" applyBorder="1" applyAlignment="1" applyProtection="1">
      <alignment horizontal="center" vertical="center"/>
      <protection locked="0"/>
    </xf>
    <xf numFmtId="0" fontId="54" fillId="58" borderId="20" xfId="0" applyFont="1" applyFill="1" applyBorder="1" applyAlignment="1">
      <alignment horizontal="center" vertical="center"/>
    </xf>
    <xf numFmtId="0" fontId="54" fillId="7" borderId="20" xfId="0" applyFont="1" applyFill="1" applyBorder="1" applyAlignment="1">
      <alignment horizontal="center" vertical="center"/>
    </xf>
    <xf numFmtId="0" fontId="56" fillId="7" borderId="20" xfId="0" applyFont="1" applyFill="1" applyBorder="1" applyAlignment="1">
      <alignment horizontal="center" vertical="center"/>
    </xf>
    <xf numFmtId="0" fontId="57" fillId="52" borderId="20" xfId="0" applyFont="1" applyFill="1" applyBorder="1" applyAlignment="1">
      <alignment horizontal="center" vertical="center"/>
    </xf>
    <xf numFmtId="0" fontId="57" fillId="52" borderId="20" xfId="0" applyFont="1" applyFill="1" applyBorder="1" applyAlignment="1">
      <alignment horizontal="center" vertical="center" wrapText="1"/>
    </xf>
    <xf numFmtId="0" fontId="58" fillId="9" borderId="23" xfId="0" applyFont="1" applyFill="1" applyBorder="1" applyAlignment="1">
      <alignment horizontal="justify" vertical="center" wrapText="1"/>
    </xf>
    <xf numFmtId="0" fontId="56" fillId="9" borderId="20" xfId="0" applyFont="1" applyFill="1" applyBorder="1" applyAlignment="1">
      <alignment horizontal="center" vertical="center"/>
    </xf>
    <xf numFmtId="3" fontId="54" fillId="56" borderId="20" xfId="0" applyNumberFormat="1" applyFont="1" applyFill="1" applyBorder="1" applyAlignment="1" applyProtection="1">
      <alignment horizontal="center" vertical="center"/>
      <protection locked="0"/>
    </xf>
    <xf numFmtId="0" fontId="57" fillId="7" borderId="20" xfId="0" applyFont="1" applyFill="1" applyBorder="1" applyAlignment="1">
      <alignment horizontal="center" vertical="center" wrapText="1"/>
    </xf>
    <xf numFmtId="0" fontId="56" fillId="5" borderId="23" xfId="0" applyFont="1" applyFill="1" applyBorder="1" applyAlignment="1">
      <alignment horizontal="justify" vertical="center" wrapText="1"/>
    </xf>
    <xf numFmtId="0" fontId="56" fillId="5" borderId="20" xfId="0" applyFont="1" applyFill="1" applyBorder="1" applyAlignment="1">
      <alignment horizontal="center" vertical="center" wrapText="1"/>
    </xf>
    <xf numFmtId="0" fontId="55" fillId="46" borderId="23" xfId="0" applyFont="1" applyFill="1" applyBorder="1" applyAlignment="1">
      <alignment horizontal="justify" vertical="center" wrapText="1"/>
    </xf>
    <xf numFmtId="0" fontId="56" fillId="46" borderId="20" xfId="0" applyFont="1" applyFill="1" applyBorder="1" applyAlignment="1">
      <alignment horizontal="center" vertical="center" wrapText="1"/>
    </xf>
    <xf numFmtId="3" fontId="60" fillId="15" borderId="23" xfId="0" applyNumberFormat="1" applyFont="1" applyFill="1" applyBorder="1" applyAlignment="1" applyProtection="1">
      <alignment horizontal="justify" vertical="center" wrapText="1"/>
      <protection hidden="1"/>
    </xf>
    <xf numFmtId="0" fontId="56" fillId="15" borderId="20" xfId="0" applyFont="1" applyFill="1" applyBorder="1" applyAlignment="1">
      <alignment horizontal="center" vertical="center" wrapText="1"/>
    </xf>
    <xf numFmtId="3" fontId="60" fillId="46" borderId="23" xfId="0" applyNumberFormat="1" applyFont="1" applyFill="1" applyBorder="1" applyAlignment="1" applyProtection="1">
      <alignment horizontal="left" vertical="center" wrapText="1"/>
      <protection hidden="1"/>
    </xf>
    <xf numFmtId="0" fontId="61" fillId="46" borderId="25" xfId="0" applyFont="1" applyFill="1" applyBorder="1" applyAlignment="1">
      <alignment horizontal="center" vertical="center" wrapText="1"/>
    </xf>
    <xf numFmtId="3" fontId="62" fillId="7" borderId="20" xfId="0" applyNumberFormat="1" applyFont="1" applyFill="1" applyBorder="1" applyAlignment="1">
      <alignment horizontal="center" vertical="center" wrapText="1"/>
    </xf>
    <xf numFmtId="3" fontId="63" fillId="56" borderId="20" xfId="0" applyNumberFormat="1" applyFont="1" applyFill="1" applyBorder="1" applyAlignment="1" applyProtection="1">
      <alignment horizontal="center" vertical="center"/>
      <protection locked="0"/>
    </xf>
    <xf numFmtId="0" fontId="62" fillId="7" borderId="20" xfId="0" applyFont="1" applyFill="1" applyBorder="1" applyAlignment="1">
      <alignment horizontal="left" vertical="center" wrapText="1"/>
    </xf>
    <xf numFmtId="0" fontId="56" fillId="57" borderId="20" xfId="0" applyFont="1" applyFill="1" applyBorder="1" applyAlignment="1">
      <alignment horizontal="center" vertical="center"/>
    </xf>
    <xf numFmtId="0" fontId="56" fillId="15" borderId="20" xfId="0" applyFont="1" applyFill="1" applyBorder="1" applyAlignment="1">
      <alignment horizontal="center" vertical="center"/>
    </xf>
    <xf numFmtId="0" fontId="0" fillId="0" borderId="20" xfId="0" applyBorder="1" applyAlignment="1">
      <alignment horizontal="left" vertical="center" wrapText="1"/>
    </xf>
    <xf numFmtId="0" fontId="56" fillId="23" borderId="20" xfId="0" applyFont="1" applyFill="1" applyBorder="1" applyAlignment="1">
      <alignment horizontal="center" vertical="center"/>
    </xf>
    <xf numFmtId="3" fontId="54" fillId="56" borderId="24" xfId="0" applyNumberFormat="1" applyFont="1" applyFill="1" applyBorder="1" applyAlignment="1" applyProtection="1">
      <alignment horizontal="center" vertical="center"/>
      <protection locked="0"/>
    </xf>
    <xf numFmtId="0" fontId="56" fillId="59" borderId="20" xfId="0" applyFont="1" applyFill="1" applyBorder="1" applyAlignment="1">
      <alignment horizontal="center" vertical="center"/>
    </xf>
    <xf numFmtId="0" fontId="64" fillId="58" borderId="20" xfId="0" applyFont="1" applyFill="1" applyBorder="1" applyAlignment="1" applyProtection="1">
      <alignment horizontal="center" vertical="center"/>
      <protection hidden="1"/>
    </xf>
    <xf numFmtId="0" fontId="66" fillId="66" borderId="20" xfId="153" applyNumberFormat="1" applyFont="1" applyFill="1" applyBorder="1" applyAlignment="1" applyProtection="1">
      <alignment horizontal="center" vertical="center"/>
      <protection hidden="1"/>
    </xf>
    <xf numFmtId="0" fontId="68" fillId="37" borderId="104" xfId="0" applyFont="1" applyFill="1" applyBorder="1" applyAlignment="1" applyProtection="1">
      <alignment horizontal="center" vertical="center"/>
      <protection hidden="1"/>
    </xf>
    <xf numFmtId="0" fontId="69" fillId="13" borderId="105" xfId="0" applyFont="1" applyFill="1" applyBorder="1" applyAlignment="1" applyProtection="1">
      <alignment horizontal="center" vertical="center" wrapText="1"/>
      <protection hidden="1"/>
    </xf>
    <xf numFmtId="0" fontId="70" fillId="67" borderId="37" xfId="0" applyFont="1" applyFill="1" applyBorder="1" applyAlignment="1" applyProtection="1">
      <alignment horizontal="left" vertical="center" wrapText="1"/>
      <protection hidden="1"/>
    </xf>
    <xf numFmtId="1" fontId="68" fillId="37" borderId="106" xfId="0" applyNumberFormat="1" applyFont="1" applyFill="1" applyBorder="1" applyAlignment="1" applyProtection="1">
      <alignment horizontal="center" vertical="center"/>
      <protection hidden="1"/>
    </xf>
    <xf numFmtId="1" fontId="18" fillId="56" borderId="107" xfId="0" applyNumberFormat="1" applyFont="1" applyFill="1" applyBorder="1" applyAlignment="1" applyProtection="1">
      <alignment horizontal="left" vertical="center"/>
      <protection locked="0"/>
    </xf>
    <xf numFmtId="1" fontId="74" fillId="56" borderId="23" xfId="0" applyNumberFormat="1" applyFont="1" applyFill="1" applyBorder="1" applyAlignment="1" applyProtection="1">
      <alignment horizontal="left" vertical="center" wrapText="1"/>
      <protection locked="0"/>
    </xf>
    <xf numFmtId="1" fontId="18" fillId="56" borderId="108" xfId="0" applyNumberFormat="1" applyFont="1" applyFill="1" applyBorder="1" applyAlignment="1" applyProtection="1">
      <alignment horizontal="left" vertical="center"/>
      <protection locked="0"/>
    </xf>
    <xf numFmtId="1" fontId="18" fillId="56" borderId="43" xfId="0" applyNumberFormat="1" applyFont="1" applyFill="1" applyBorder="1" applyAlignment="1" applyProtection="1">
      <alignment horizontal="left" vertical="center"/>
      <protection locked="0"/>
    </xf>
    <xf numFmtId="1" fontId="80" fillId="56" borderId="49" xfId="0" applyNumberFormat="1" applyFont="1" applyFill="1" applyBorder="1" applyAlignment="1" applyProtection="1">
      <alignment horizontal="left" vertical="center"/>
      <protection locked="0"/>
    </xf>
    <xf numFmtId="49" fontId="82" fillId="56" borderId="91" xfId="0" applyNumberFormat="1" applyFont="1" applyFill="1" applyBorder="1" applyAlignment="1" applyProtection="1">
      <alignment horizontal="left" vertical="center"/>
      <protection locked="0"/>
    </xf>
    <xf numFmtId="1" fontId="80" fillId="56" borderId="46" xfId="0" applyNumberFormat="1" applyFont="1" applyFill="1" applyBorder="1" applyAlignment="1" applyProtection="1">
      <alignment horizontal="left" vertical="center"/>
      <protection locked="0"/>
    </xf>
    <xf numFmtId="0" fontId="74" fillId="0" borderId="20" xfId="0" applyFont="1" applyBorder="1" applyAlignment="1" applyProtection="1">
      <alignment horizontal="center" vertical="center" wrapText="1"/>
      <protection hidden="1"/>
    </xf>
    <xf numFmtId="0" fontId="83" fillId="7" borderId="20" xfId="0" applyFont="1" applyFill="1" applyBorder="1" applyAlignment="1" applyProtection="1">
      <alignment horizontal="center" vertical="center" wrapText="1"/>
      <protection hidden="1"/>
    </xf>
    <xf numFmtId="0" fontId="84" fillId="7" borderId="20" xfId="0" applyFont="1" applyFill="1" applyBorder="1" applyAlignment="1">
      <alignment horizontal="center" vertical="center" wrapText="1"/>
    </xf>
    <xf numFmtId="0" fontId="54" fillId="0" borderId="20" xfId="0" applyFont="1" applyBorder="1" applyAlignment="1" applyProtection="1">
      <alignment horizontal="center" vertical="center"/>
      <protection locked="0"/>
    </xf>
    <xf numFmtId="0" fontId="24" fillId="7" borderId="20" xfId="127" applyNumberFormat="1" applyFont="1" applyBorder="1" applyAlignment="1" applyProtection="1">
      <alignment horizontal="left" vertical="center" wrapText="1"/>
      <protection hidden="1"/>
    </xf>
    <xf numFmtId="0" fontId="87" fillId="5" borderId="29" xfId="0" applyFont="1" applyFill="1" applyBorder="1" applyAlignment="1" applyProtection="1">
      <alignment horizontal="center" vertical="center"/>
      <protection hidden="1"/>
    </xf>
    <xf numFmtId="2" fontId="90" fillId="62" borderId="109" xfId="0" applyNumberFormat="1" applyFont="1" applyFill="1" applyBorder="1" applyAlignment="1" applyProtection="1">
      <alignment horizontal="center" vertical="center" wrapText="1"/>
      <protection hidden="1"/>
    </xf>
    <xf numFmtId="0" fontId="31" fillId="7" borderId="44" xfId="0" applyFont="1" applyFill="1" applyBorder="1" applyAlignment="1">
      <alignment horizontal="left" vertical="center" wrapText="1"/>
    </xf>
    <xf numFmtId="0" fontId="28" fillId="31" borderId="44" xfId="0" applyFont="1" applyFill="1" applyBorder="1" applyAlignment="1" applyProtection="1">
      <alignment horizontal="left" vertical="center"/>
      <protection hidden="1"/>
    </xf>
    <xf numFmtId="0" fontId="91" fillId="0" borderId="0" xfId="0" applyFont="1" applyFill="1" applyBorder="1" applyAlignment="1" applyProtection="1">
      <alignment horizontal="left" vertical="center"/>
      <protection hidden="1"/>
    </xf>
    <xf numFmtId="0" fontId="93" fillId="25" borderId="48" xfId="0" applyFont="1" applyFill="1" applyBorder="1" applyAlignment="1">
      <alignment horizontal="left" vertical="center" wrapText="1"/>
    </xf>
    <xf numFmtId="49" fontId="94" fillId="56" borderId="48" xfId="0" applyNumberFormat="1" applyFont="1" applyFill="1" applyBorder="1" applyAlignment="1" applyProtection="1">
      <alignment horizontal="left" vertical="center"/>
      <protection locked="0"/>
    </xf>
    <xf numFmtId="1" fontId="90" fillId="62" borderId="110" xfId="0" applyNumberFormat="1" applyFont="1" applyFill="1" applyBorder="1" applyAlignment="1" applyProtection="1">
      <alignment horizontal="center" vertical="center" wrapText="1"/>
      <protection hidden="1"/>
    </xf>
    <xf numFmtId="0" fontId="96" fillId="13" borderId="37" xfId="0" applyFont="1" applyFill="1" applyBorder="1" applyAlignment="1">
      <alignment horizontal="center" vertical="center"/>
    </xf>
    <xf numFmtId="0" fontId="97" fillId="5" borderId="0" xfId="0" applyFont="1" applyFill="1" applyBorder="1" applyAlignment="1">
      <alignment horizontal="center" vertical="center"/>
    </xf>
    <xf numFmtId="0" fontId="93" fillId="37" borderId="42" xfId="0" applyFont="1" applyFill="1" applyBorder="1" applyAlignment="1" applyProtection="1">
      <alignment horizontal="center" vertical="center"/>
      <protection hidden="1"/>
    </xf>
    <xf numFmtId="0" fontId="2" fillId="56" borderId="63" xfId="0" applyFont="1" applyFill="1" applyBorder="1" applyAlignment="1" applyProtection="1">
      <alignment horizontal="left" vertical="center"/>
      <protection locked="0"/>
    </xf>
    <xf numFmtId="1" fontId="99" fillId="39" borderId="0" xfId="0" applyNumberFormat="1" applyFont="1" applyFill="1" applyBorder="1" applyAlignment="1" applyProtection="1">
      <alignment horizontal="center" vertical="center" wrapText="1"/>
      <protection hidden="1"/>
    </xf>
    <xf numFmtId="0" fontId="2" fillId="56" borderId="35" xfId="0" applyFont="1" applyFill="1" applyBorder="1" applyAlignment="1" applyProtection="1">
      <alignment horizontal="left" vertical="center"/>
      <protection locked="0"/>
    </xf>
    <xf numFmtId="0" fontId="101" fillId="0" borderId="20" xfId="0" applyFont="1" applyFill="1" applyBorder="1" applyAlignment="1">
      <alignment horizontal="left" vertical="center" wrapText="1"/>
    </xf>
    <xf numFmtId="0" fontId="2" fillId="56" borderId="78" xfId="0" applyFont="1" applyFill="1" applyBorder="1" applyAlignment="1" applyProtection="1">
      <alignment horizontal="left" vertical="center"/>
      <protection locked="0"/>
    </xf>
    <xf numFmtId="0" fontId="102" fillId="0" borderId="20" xfId="0" applyFont="1" applyFill="1" applyBorder="1" applyAlignment="1" applyProtection="1">
      <alignment horizontal="left" vertical="center" wrapText="1"/>
      <protection hidden="1"/>
    </xf>
    <xf numFmtId="0" fontId="103" fillId="66" borderId="0" xfId="153" applyNumberFormat="1" applyFont="1" applyFill="1" applyBorder="1" applyAlignment="1" applyProtection="1">
      <alignment horizontal="center" vertical="center"/>
      <protection/>
    </xf>
    <xf numFmtId="0" fontId="106" fillId="0" borderId="0" xfId="0" applyFont="1" applyFill="1" applyBorder="1" applyAlignment="1" applyProtection="1">
      <alignment horizontal="center" vertical="center" wrapText="1"/>
      <protection hidden="1"/>
    </xf>
    <xf numFmtId="0" fontId="74" fillId="0" borderId="0" xfId="0" applyFont="1" applyFill="1" applyBorder="1" applyAlignment="1">
      <alignment horizontal="center" vertical="center" wrapText="1"/>
    </xf>
    <xf numFmtId="0" fontId="108" fillId="46" borderId="20" xfId="0" applyFont="1" applyFill="1" applyBorder="1" applyAlignment="1" applyProtection="1">
      <alignment horizontal="center" vertical="center" wrapText="1"/>
      <protection hidden="1"/>
    </xf>
    <xf numFmtId="166" fontId="28" fillId="68" borderId="58" xfId="0" applyNumberFormat="1" applyFont="1" applyFill="1" applyBorder="1" applyAlignment="1" applyProtection="1">
      <alignment horizontal="center" vertical="center" wrapText="1"/>
      <protection hidden="1" locked="0"/>
    </xf>
    <xf numFmtId="0" fontId="24" fillId="13" borderId="111" xfId="0" applyFont="1" applyFill="1" applyBorder="1" applyAlignment="1" applyProtection="1">
      <alignment horizontal="center" vertical="center" wrapText="1"/>
      <protection hidden="1"/>
    </xf>
    <xf numFmtId="0" fontId="0" fillId="0" borderId="0" xfId="0" applyFont="1" applyFill="1" applyBorder="1" applyAlignment="1" applyProtection="1">
      <alignment horizontal="center" vertical="center"/>
      <protection locked="0"/>
    </xf>
    <xf numFmtId="0" fontId="112" fillId="46" borderId="20" xfId="0" applyFont="1" applyFill="1" applyBorder="1" applyAlignment="1">
      <alignment horizontal="center" wrapText="1"/>
    </xf>
    <xf numFmtId="0" fontId="113" fillId="66" borderId="29" xfId="0" applyFont="1" applyFill="1" applyBorder="1" applyAlignment="1">
      <alignment horizontal="center" wrapText="1"/>
    </xf>
    <xf numFmtId="0" fontId="114" fillId="0" borderId="0" xfId="0" applyFont="1" applyFill="1" applyBorder="1" applyAlignment="1" applyProtection="1">
      <alignment horizontal="right" vertical="center" wrapText="1"/>
      <protection hidden="1"/>
    </xf>
    <xf numFmtId="0" fontId="94" fillId="56" borderId="26" xfId="0" applyFont="1" applyFill="1" applyBorder="1" applyAlignment="1" applyProtection="1">
      <alignment horizontal="left" vertical="center"/>
      <protection locked="0"/>
    </xf>
    <xf numFmtId="0" fontId="116" fillId="69" borderId="20" xfId="0" applyFont="1" applyFill="1" applyBorder="1" applyAlignment="1">
      <alignment horizontal="center" vertical="center"/>
    </xf>
    <xf numFmtId="0" fontId="117" fillId="0" borderId="0" xfId="0" applyFont="1" applyFill="1" applyBorder="1" applyAlignment="1" applyProtection="1">
      <alignment horizontal="right" vertical="center" wrapText="1"/>
      <protection hidden="1"/>
    </xf>
    <xf numFmtId="0" fontId="118" fillId="19" borderId="112" xfId="0" applyFont="1" applyFill="1" applyBorder="1" applyAlignment="1">
      <alignment horizontal="center" wrapText="1"/>
    </xf>
    <xf numFmtId="0" fontId="72" fillId="11" borderId="20" xfId="0" applyFont="1" applyFill="1" applyBorder="1" applyAlignment="1">
      <alignment horizontal="center" vertical="center" wrapText="1"/>
    </xf>
    <xf numFmtId="1" fontId="98" fillId="56" borderId="20" xfId="0" applyNumberFormat="1" applyFont="1" applyFill="1" applyBorder="1" applyAlignment="1" applyProtection="1">
      <alignment horizontal="center" vertical="center" wrapText="1"/>
      <protection locked="0"/>
    </xf>
    <xf numFmtId="1" fontId="98" fillId="56" borderId="20" xfId="0" applyNumberFormat="1" applyFont="1" applyFill="1" applyBorder="1" applyAlignment="1" applyProtection="1">
      <alignment horizontal="center" vertical="center"/>
      <protection locked="0"/>
    </xf>
    <xf numFmtId="1" fontId="124" fillId="37" borderId="20" xfId="0" applyNumberFormat="1" applyFont="1" applyFill="1" applyBorder="1" applyAlignment="1">
      <alignment horizontal="center" vertical="center"/>
    </xf>
    <xf numFmtId="0" fontId="6" fillId="57" borderId="20" xfId="127" applyNumberFormat="1" applyFont="1" applyFill="1" applyBorder="1" applyAlignment="1" applyProtection="1">
      <alignment horizontal="center" vertical="center" wrapText="1"/>
      <protection hidden="1"/>
    </xf>
    <xf numFmtId="0" fontId="0" fillId="46" borderId="20" xfId="0"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0" fontId="149" fillId="0" borderId="0" xfId="0" applyFont="1" applyBorder="1" applyAlignment="1" applyProtection="1">
      <alignment horizontal="left" vertical="center"/>
      <protection locked="0"/>
    </xf>
    <xf numFmtId="0" fontId="151" fillId="0" borderId="26" xfId="0" applyFont="1" applyBorder="1" applyAlignment="1" applyProtection="1">
      <alignment horizontal="center" vertical="center"/>
      <protection hidden="1" locked="0"/>
    </xf>
    <xf numFmtId="0" fontId="150" fillId="0" borderId="20" xfId="0" applyFont="1" applyBorder="1" applyAlignment="1" applyProtection="1">
      <alignment horizontal="center" vertical="center" textRotation="90" wrapText="1"/>
      <protection hidden="1" locked="0"/>
    </xf>
    <xf numFmtId="0" fontId="152" fillId="0" borderId="20" xfId="0" applyFont="1" applyBorder="1" applyAlignment="1" applyProtection="1">
      <alignment horizontal="center" vertical="center" textRotation="90" wrapText="1"/>
      <protection hidden="1" locked="0"/>
    </xf>
    <xf numFmtId="0" fontId="158" fillId="37" borderId="20" xfId="153" applyNumberFormat="1" applyFont="1" applyFill="1" applyBorder="1" applyAlignment="1" applyProtection="1">
      <alignment horizontal="center" vertical="center"/>
      <protection hidden="1"/>
    </xf>
    <xf numFmtId="0" fontId="107" fillId="0" borderId="20" xfId="0" applyFont="1" applyBorder="1" applyAlignment="1" applyProtection="1">
      <alignment horizontal="left" vertical="top" wrapText="1"/>
      <protection hidden="1" locked="0"/>
    </xf>
    <xf numFmtId="0" fontId="74" fillId="0" borderId="20" xfId="0" applyFont="1" applyBorder="1" applyAlignment="1" applyProtection="1">
      <alignment horizontal="left" vertical="top" wrapText="1"/>
      <protection hidden="1" locked="0"/>
    </xf>
    <xf numFmtId="0" fontId="150" fillId="0" borderId="63" xfId="0" applyFont="1" applyBorder="1" applyAlignment="1" applyProtection="1">
      <alignment horizontal="left" vertical="center"/>
      <protection hidden="1"/>
    </xf>
    <xf numFmtId="0" fontId="74" fillId="0" borderId="20" xfId="0" applyFont="1" applyBorder="1" applyAlignment="1" applyProtection="1">
      <alignment horizontal="left" vertical="top" wrapText="1"/>
      <protection locked="0"/>
    </xf>
    <xf numFmtId="0" fontId="74" fillId="0" borderId="20" xfId="0" applyFont="1" applyBorder="1" applyAlignment="1" applyProtection="1">
      <alignment horizontal="left" vertical="center" wrapText="1"/>
      <protection locked="0"/>
    </xf>
    <xf numFmtId="0" fontId="155" fillId="0" borderId="20" xfId="0" applyFont="1" applyBorder="1" applyAlignment="1" applyProtection="1">
      <alignment horizontal="left" vertical="center"/>
      <protection hidden="1" locked="0"/>
    </xf>
    <xf numFmtId="0" fontId="159" fillId="0" borderId="20" xfId="0" applyFont="1" applyBorder="1" applyAlignment="1" applyProtection="1">
      <alignment horizontal="center" vertical="center"/>
      <protection hidden="1" locked="0"/>
    </xf>
    <xf numFmtId="0" fontId="136" fillId="0" borderId="113" xfId="0" applyFont="1" applyBorder="1" applyAlignment="1" applyProtection="1">
      <alignment horizontal="center"/>
      <protection hidden="1" locked="0"/>
    </xf>
    <xf numFmtId="0" fontId="136" fillId="0" borderId="77" xfId="0" applyFont="1" applyBorder="1" applyAlignment="1" applyProtection="1">
      <alignment horizontal="center"/>
      <protection hidden="1" locked="0"/>
    </xf>
    <xf numFmtId="0" fontId="141" fillId="0" borderId="84" xfId="0" applyFont="1" applyBorder="1" applyAlignment="1" applyProtection="1">
      <alignment horizontal="center" vertical="top"/>
      <protection hidden="1" locked="0"/>
    </xf>
    <xf numFmtId="0" fontId="160" fillId="0" borderId="42" xfId="0" applyFont="1" applyBorder="1" applyAlignment="1" applyProtection="1">
      <alignment horizontal="center" vertical="center"/>
      <protection hidden="1" locked="0"/>
    </xf>
    <xf numFmtId="0" fontId="141" fillId="0" borderId="27" xfId="0" applyFont="1" applyBorder="1" applyAlignment="1" applyProtection="1">
      <alignment horizontal="center" vertical="center"/>
      <protection locked="0"/>
    </xf>
    <xf numFmtId="0" fontId="141" fillId="0" borderId="83" xfId="0" applyFont="1" applyBorder="1" applyAlignment="1" applyProtection="1">
      <alignment horizontal="left" vertical="center" shrinkToFit="1"/>
      <protection hidden="1" locked="0"/>
    </xf>
    <xf numFmtId="0" fontId="136" fillId="0" borderId="84" xfId="0" applyFont="1" applyBorder="1" applyAlignment="1" applyProtection="1">
      <alignment horizontal="left" vertical="center"/>
      <protection hidden="1" locked="0"/>
    </xf>
    <xf numFmtId="0" fontId="141" fillId="0" borderId="42" xfId="0" applyFont="1" applyBorder="1" applyAlignment="1" applyProtection="1">
      <alignment horizontal="left" vertical="center" wrapText="1"/>
      <protection hidden="1" locked="0"/>
    </xf>
    <xf numFmtId="0" fontId="141" fillId="0" borderId="42" xfId="0" applyFont="1" applyBorder="1" applyAlignment="1" applyProtection="1">
      <alignment horizontal="center" vertical="center"/>
      <protection hidden="1" locked="0"/>
    </xf>
    <xf numFmtId="0" fontId="141" fillId="0" borderId="59" xfId="0" applyFont="1" applyBorder="1" applyAlignment="1" applyProtection="1">
      <alignment horizontal="left" vertical="center" shrinkToFit="1"/>
      <protection hidden="1" locked="0"/>
    </xf>
    <xf numFmtId="0" fontId="136" fillId="0" borderId="80" xfId="0" applyFont="1" applyBorder="1" applyAlignment="1" applyProtection="1">
      <alignment horizontal="left" vertical="center"/>
      <protection hidden="1"/>
    </xf>
    <xf numFmtId="0" fontId="139" fillId="0" borderId="81" xfId="0" applyFont="1" applyBorder="1" applyAlignment="1" applyProtection="1">
      <alignment horizontal="left" vertical="center"/>
      <protection hidden="1"/>
    </xf>
    <xf numFmtId="0" fontId="131" fillId="0" borderId="29" xfId="0" applyFont="1" applyBorder="1" applyAlignment="1" applyProtection="1">
      <alignment horizontal="left" vertical="center"/>
      <protection hidden="1"/>
    </xf>
    <xf numFmtId="0" fontId="141" fillId="0" borderId="29" xfId="0" applyFont="1" applyBorder="1" applyAlignment="1" applyProtection="1">
      <alignment horizontal="left" vertical="center"/>
      <protection hidden="1"/>
    </xf>
    <xf numFmtId="0" fontId="136" fillId="0" borderId="0" xfId="0" applyFont="1" applyBorder="1" applyAlignment="1" applyProtection="1">
      <alignment horizontal="left" vertical="center"/>
      <protection hidden="1"/>
    </xf>
    <xf numFmtId="0" fontId="137" fillId="0" borderId="0" xfId="0" applyFont="1" applyBorder="1" applyAlignment="1" applyProtection="1">
      <alignment horizontal="left" vertical="center"/>
      <protection hidden="1"/>
    </xf>
    <xf numFmtId="0" fontId="136" fillId="0" borderId="0" xfId="0" applyFont="1" applyBorder="1" applyAlignment="1" applyProtection="1">
      <alignment horizontal="left" vertical="center" shrinkToFit="1"/>
      <protection hidden="1"/>
    </xf>
    <xf numFmtId="0" fontId="136" fillId="0" borderId="0" xfId="0" applyFont="1" applyFill="1" applyBorder="1" applyAlignment="1" applyProtection="1">
      <alignment horizontal="left" vertical="center"/>
      <protection hidden="1"/>
    </xf>
    <xf numFmtId="0" fontId="136" fillId="0" borderId="29" xfId="0" applyFont="1" applyBorder="1" applyAlignment="1" applyProtection="1">
      <alignment horizontal="left" vertical="center"/>
      <protection hidden="1"/>
    </xf>
    <xf numFmtId="0" fontId="135" fillId="0" borderId="0" xfId="0" applyFont="1" applyFill="1" applyBorder="1" applyAlignment="1" applyProtection="1">
      <alignment horizontal="left" vertical="center"/>
      <protection hidden="1"/>
    </xf>
    <xf numFmtId="0" fontId="131" fillId="0" borderId="29" xfId="0" applyFont="1" applyFill="1" applyBorder="1" applyAlignment="1" applyProtection="1">
      <alignment horizontal="left" vertical="center"/>
      <protection hidden="1"/>
    </xf>
    <xf numFmtId="0" fontId="135" fillId="0" borderId="0" xfId="0" applyFont="1" applyBorder="1" applyAlignment="1" applyProtection="1">
      <alignment horizontal="left" vertical="center"/>
      <protection hidden="1"/>
    </xf>
    <xf numFmtId="0" fontId="136" fillId="0" borderId="0" xfId="0" applyFont="1" applyFill="1" applyBorder="1" applyAlignment="1" applyProtection="1">
      <alignment vertical="center"/>
      <protection hidden="1"/>
    </xf>
    <xf numFmtId="9" fontId="136" fillId="0" borderId="20" xfId="0" applyNumberFormat="1" applyFont="1" applyBorder="1" applyAlignment="1" applyProtection="1">
      <alignment horizontal="center" wrapText="1"/>
      <protection hidden="1"/>
    </xf>
    <xf numFmtId="0" fontId="136" fillId="0" borderId="20" xfId="0" applyFont="1" applyBorder="1" applyAlignment="1" applyProtection="1">
      <alignment horizontal="center" vertical="center"/>
      <protection hidden="1"/>
    </xf>
    <xf numFmtId="0" fontId="136" fillId="0" borderId="0" xfId="0" applyFont="1" applyBorder="1" applyAlignment="1" applyProtection="1">
      <alignment vertical="center"/>
      <protection hidden="1"/>
    </xf>
    <xf numFmtId="0" fontId="163" fillId="0" borderId="0" xfId="0" applyFont="1" applyBorder="1" applyAlignment="1" applyProtection="1">
      <alignment vertical="center"/>
      <protection hidden="1"/>
    </xf>
    <xf numFmtId="17" fontId="136" fillId="0" borderId="35" xfId="0" applyNumberFormat="1" applyFont="1" applyBorder="1" applyAlignment="1" applyProtection="1">
      <alignment horizontal="center" vertical="center"/>
      <protection hidden="1"/>
    </xf>
    <xf numFmtId="0" fontId="162" fillId="0" borderId="66" xfId="0" applyFont="1" applyBorder="1" applyAlignment="1" applyProtection="1">
      <alignment horizontal="center" vertical="center"/>
      <protection hidden="1"/>
    </xf>
    <xf numFmtId="0" fontId="166" fillId="0" borderId="114" xfId="0" applyFont="1" applyFill="1" applyBorder="1" applyAlignment="1" applyProtection="1">
      <alignment horizontal="left" vertical="center" wrapText="1"/>
      <protection hidden="1"/>
    </xf>
    <xf numFmtId="0" fontId="141" fillId="0" borderId="61" xfId="0" applyFont="1" applyBorder="1" applyAlignment="1" applyProtection="1">
      <alignment horizontal="left" vertical="center"/>
      <protection hidden="1"/>
    </xf>
    <xf numFmtId="0" fontId="141" fillId="0" borderId="65" xfId="0" applyFont="1" applyBorder="1" applyAlignment="1" applyProtection="1">
      <alignment horizontal="center" vertical="center"/>
      <protection hidden="1"/>
    </xf>
    <xf numFmtId="0" fontId="165" fillId="0" borderId="115" xfId="0" applyFont="1" applyFill="1" applyBorder="1" applyAlignment="1" applyProtection="1">
      <alignment horizontal="center" vertical="center"/>
      <protection hidden="1"/>
    </xf>
    <xf numFmtId="0" fontId="160" fillId="0" borderId="115" xfId="0" applyFont="1" applyBorder="1" applyAlignment="1" applyProtection="1">
      <alignment horizontal="center" vertical="center" wrapText="1"/>
      <protection hidden="1" locked="0"/>
    </xf>
    <xf numFmtId="0" fontId="136" fillId="0" borderId="114" xfId="0" applyFont="1" applyBorder="1" applyAlignment="1" applyProtection="1">
      <alignment horizontal="center" vertical="center" wrapText="1"/>
      <protection hidden="1" locked="0"/>
    </xf>
    <xf numFmtId="0" fontId="135" fillId="0" borderId="116" xfId="0" applyFont="1" applyBorder="1" applyAlignment="1" applyProtection="1">
      <alignment horizontal="center" vertical="center"/>
      <protection hidden="1" locked="0"/>
    </xf>
    <xf numFmtId="0" fontId="135" fillId="0" borderId="117" xfId="0" applyFont="1" applyBorder="1" applyAlignment="1" applyProtection="1">
      <alignment horizontal="center" vertical="center"/>
      <protection hidden="1" locked="0"/>
    </xf>
    <xf numFmtId="168" fontId="131" fillId="0" borderId="61" xfId="0" applyNumberFormat="1" applyFont="1" applyBorder="1" applyAlignment="1" applyProtection="1">
      <alignment horizontal="center"/>
      <protection hidden="1" locked="0"/>
    </xf>
    <xf numFmtId="1" fontId="141" fillId="0" borderId="69" xfId="0" applyNumberFormat="1" applyFont="1" applyBorder="1" applyAlignment="1" applyProtection="1">
      <alignment horizontal="left"/>
      <protection hidden="1" locked="0"/>
    </xf>
    <xf numFmtId="0" fontId="141" fillId="0" borderId="69" xfId="0" applyFont="1" applyBorder="1" applyAlignment="1" applyProtection="1">
      <alignment horizontal="left"/>
      <protection hidden="1" locked="0"/>
    </xf>
    <xf numFmtId="0" fontId="136" fillId="0" borderId="61" xfId="0" applyFont="1" applyBorder="1" applyAlignment="1" applyProtection="1">
      <alignment horizontal="center"/>
      <protection hidden="1" locked="0"/>
    </xf>
    <xf numFmtId="0" fontId="136" fillId="0" borderId="69" xfId="0" applyFont="1" applyBorder="1" applyAlignment="1" applyProtection="1">
      <alignment horizontal="center"/>
      <protection hidden="1" locked="0"/>
    </xf>
    <xf numFmtId="0" fontId="141" fillId="0" borderId="95" xfId="0" applyFont="1" applyBorder="1" applyAlignment="1" applyProtection="1">
      <alignment horizontal="center" vertical="center"/>
      <protection hidden="1" locked="0"/>
    </xf>
    <xf numFmtId="1" fontId="141" fillId="0" borderId="23" xfId="0" applyNumberFormat="1" applyFont="1" applyBorder="1" applyAlignment="1" applyProtection="1">
      <alignment horizontal="center" vertical="center"/>
      <protection hidden="1" locked="0"/>
    </xf>
    <xf numFmtId="0" fontId="139" fillId="0" borderId="25" xfId="0" applyFont="1" applyBorder="1" applyAlignment="1" applyProtection="1">
      <alignment horizontal="center" vertical="center"/>
      <protection hidden="1" locked="0"/>
    </xf>
    <xf numFmtId="1" fontId="141" fillId="0" borderId="118" xfId="0" applyNumberFormat="1" applyFont="1" applyBorder="1" applyAlignment="1" applyProtection="1">
      <alignment horizontal="center" vertical="center"/>
      <protection hidden="1" locked="0"/>
    </xf>
    <xf numFmtId="0" fontId="136" fillId="0" borderId="119" xfId="0" applyFont="1" applyBorder="1" applyAlignment="1" applyProtection="1">
      <alignment horizontal="center" vertical="center" wrapText="1"/>
      <protection hidden="1" locked="0"/>
    </xf>
    <xf numFmtId="0" fontId="136" fillId="0" borderId="94" xfId="0" applyFont="1" applyBorder="1" applyAlignment="1" applyProtection="1">
      <alignment horizontal="center" vertical="center"/>
      <protection hidden="1" locked="0"/>
    </xf>
    <xf numFmtId="1" fontId="135" fillId="0" borderId="25" xfId="0" applyNumberFormat="1" applyFont="1" applyBorder="1" applyAlignment="1" applyProtection="1">
      <alignment horizontal="center" vertical="center"/>
      <protection hidden="1" locked="0"/>
    </xf>
    <xf numFmtId="0" fontId="136" fillId="0" borderId="48" xfId="0" applyFont="1" applyBorder="1" applyAlignment="1" applyProtection="1">
      <alignment horizontal="center" vertical="center"/>
      <protection hidden="1" locked="0"/>
    </xf>
    <xf numFmtId="0" fontId="136" fillId="0" borderId="120" xfId="0" applyFont="1" applyBorder="1" applyAlignment="1" applyProtection="1">
      <alignment horizontal="center" vertical="center"/>
      <protection hidden="1" locked="0"/>
    </xf>
    <xf numFmtId="1" fontId="135" fillId="0" borderId="25" xfId="0" applyNumberFormat="1" applyFont="1" applyBorder="1" applyAlignment="1" applyProtection="1">
      <alignment horizontal="center" vertical="center"/>
      <protection locked="0"/>
    </xf>
    <xf numFmtId="0" fontId="136" fillId="0" borderId="37" xfId="0" applyFont="1" applyBorder="1" applyAlignment="1" applyProtection="1">
      <alignment horizontal="center" vertical="center"/>
      <protection hidden="1" locked="0"/>
    </xf>
    <xf numFmtId="0" fontId="136" fillId="0" borderId="68" xfId="0" applyFont="1" applyBorder="1" applyAlignment="1" applyProtection="1">
      <alignment horizontal="center" vertical="center"/>
      <protection hidden="1" locked="0"/>
    </xf>
    <xf numFmtId="0" fontId="136" fillId="0" borderId="111" xfId="0" applyFont="1" applyBorder="1" applyAlignment="1" applyProtection="1">
      <alignment horizontal="center" vertical="center"/>
      <protection hidden="1" locked="0"/>
    </xf>
    <xf numFmtId="17" fontId="131" fillId="0" borderId="23" xfId="0" applyNumberFormat="1" applyFont="1" applyBorder="1" applyAlignment="1" applyProtection="1">
      <alignment horizontal="center" vertical="center"/>
      <protection hidden="1" locked="0"/>
    </xf>
    <xf numFmtId="17" fontId="131" fillId="0" borderId="20" xfId="0" applyNumberFormat="1" applyFont="1" applyBorder="1" applyAlignment="1" applyProtection="1">
      <alignment horizontal="center" vertical="center"/>
      <protection hidden="1" locked="0"/>
    </xf>
    <xf numFmtId="0" fontId="131" fillId="0" borderId="59" xfId="0" applyFont="1" applyBorder="1" applyAlignment="1" applyProtection="1">
      <alignment horizontal="center" vertical="center"/>
      <protection hidden="1" locked="0"/>
    </xf>
    <xf numFmtId="0" fontId="164" fillId="0" borderId="114" xfId="0" applyFont="1" applyBorder="1" applyAlignment="1" applyProtection="1">
      <alignment horizontal="center" vertical="center"/>
      <protection hidden="1" locked="0"/>
    </xf>
    <xf numFmtId="0" fontId="135" fillId="0" borderId="121" xfId="0" applyFont="1" applyBorder="1" applyAlignment="1" applyProtection="1">
      <alignment horizontal="center"/>
      <protection hidden="1" locked="0"/>
    </xf>
    <xf numFmtId="0" fontId="131" fillId="0" borderId="29" xfId="0" applyFont="1" applyBorder="1" applyAlignment="1" applyProtection="1">
      <alignment vertical="center"/>
      <protection hidden="1"/>
    </xf>
    <xf numFmtId="0" fontId="136" fillId="0" borderId="29" xfId="0" applyFont="1" applyBorder="1" applyAlignment="1" applyProtection="1">
      <alignment vertical="center"/>
      <protection hidden="1"/>
    </xf>
    <xf numFmtId="0" fontId="131" fillId="0" borderId="21" xfId="0" applyFont="1" applyBorder="1" applyAlignment="1" applyProtection="1">
      <alignment vertical="center"/>
      <protection hidden="1"/>
    </xf>
    <xf numFmtId="0" fontId="135" fillId="0" borderId="29" xfId="0" applyFont="1" applyBorder="1" applyAlignment="1" applyProtection="1">
      <alignment vertical="center"/>
      <protection hidden="1"/>
    </xf>
    <xf numFmtId="0" fontId="136" fillId="0" borderId="29" xfId="0" applyFont="1" applyBorder="1" applyAlignment="1" applyProtection="1">
      <alignment vertical="center" wrapText="1"/>
      <protection hidden="1"/>
    </xf>
    <xf numFmtId="0" fontId="60" fillId="0" borderId="74" xfId="0" applyFont="1" applyBorder="1" applyAlignment="1" applyProtection="1">
      <alignment vertical="center"/>
      <protection hidden="1"/>
    </xf>
    <xf numFmtId="0" fontId="170" fillId="0" borderId="76" xfId="0" applyFont="1" applyBorder="1" applyAlignment="1" applyProtection="1">
      <alignment vertical="center"/>
      <protection hidden="1"/>
    </xf>
    <xf numFmtId="0" fontId="136" fillId="0" borderId="21" xfId="0" applyFont="1" applyBorder="1" applyAlignment="1" applyProtection="1">
      <alignment horizontal="center" vertical="center"/>
      <protection hidden="1"/>
    </xf>
    <xf numFmtId="3" fontId="135" fillId="0" borderId="0" xfId="0" applyNumberFormat="1" applyFont="1" applyBorder="1" applyAlignment="1" applyProtection="1">
      <alignment vertical="center"/>
      <protection hidden="1"/>
    </xf>
    <xf numFmtId="0" fontId="131" fillId="0" borderId="77" xfId="0" applyFont="1" applyFill="1" applyBorder="1" applyAlignment="1" applyProtection="1">
      <alignment horizontal="left"/>
      <protection hidden="1"/>
    </xf>
    <xf numFmtId="0" fontId="136" fillId="0" borderId="77" xfId="0" applyFont="1" applyFill="1" applyBorder="1" applyAlignment="1" applyProtection="1">
      <alignment horizontal="center"/>
      <protection hidden="1"/>
    </xf>
    <xf numFmtId="0" fontId="131" fillId="0" borderId="0" xfId="0" applyFont="1" applyFill="1" applyBorder="1" applyAlignment="1" applyProtection="1">
      <alignment horizontal="left" vertical="top"/>
      <protection hidden="1"/>
    </xf>
    <xf numFmtId="0" fontId="136" fillId="0" borderId="0" xfId="0" applyFont="1" applyFill="1" applyBorder="1" applyAlignment="1" applyProtection="1">
      <alignment horizontal="center" vertical="top"/>
      <protection hidden="1"/>
    </xf>
    <xf numFmtId="0" fontId="141" fillId="0" borderId="0" xfId="0" applyFont="1" applyFill="1" applyBorder="1" applyAlignment="1" applyProtection="1">
      <alignment horizontal="left"/>
      <protection hidden="1"/>
    </xf>
    <xf numFmtId="0" fontId="131" fillId="0" borderId="0" xfId="0" applyFont="1" applyFill="1" applyBorder="1" applyAlignment="1" applyProtection="1">
      <alignment horizontal="left"/>
      <protection hidden="1"/>
    </xf>
    <xf numFmtId="0" fontId="136" fillId="0" borderId="0" xfId="0" applyFont="1" applyFill="1" applyBorder="1" applyAlignment="1" applyProtection="1">
      <alignment horizontal="left"/>
      <protection hidden="1"/>
    </xf>
    <xf numFmtId="0" fontId="136" fillId="0" borderId="0" xfId="0" applyFont="1" applyFill="1" applyBorder="1" applyAlignment="1" applyProtection="1">
      <alignment/>
      <protection hidden="1"/>
    </xf>
    <xf numFmtId="0" fontId="131" fillId="0" borderId="0" xfId="0" applyFont="1" applyFill="1" applyBorder="1" applyAlignment="1" applyProtection="1">
      <alignment horizontal="left" vertical="center"/>
      <protection hidden="1"/>
    </xf>
    <xf numFmtId="0" fontId="131" fillId="0" borderId="114" xfId="0" applyFont="1" applyFill="1" applyBorder="1" applyAlignment="1" applyProtection="1">
      <alignment horizontal="center" shrinkToFit="1"/>
      <protection hidden="1" locked="0"/>
    </xf>
    <xf numFmtId="0" fontId="136" fillId="0" borderId="114" xfId="0" applyFont="1" applyFill="1" applyBorder="1" applyAlignment="1" applyProtection="1">
      <alignment horizontal="center"/>
      <protection hidden="1" locked="0"/>
    </xf>
    <xf numFmtId="0" fontId="135" fillId="0" borderId="26" xfId="0" applyFont="1" applyFill="1" applyBorder="1" applyAlignment="1" applyProtection="1">
      <alignment horizontal="center"/>
      <protection hidden="1" locked="0"/>
    </xf>
    <xf numFmtId="0" fontId="135" fillId="0" borderId="19" xfId="0" applyFont="1" applyFill="1" applyBorder="1" applyAlignment="1" applyProtection="1">
      <alignment horizontal="center"/>
      <protection hidden="1" locked="0"/>
    </xf>
    <xf numFmtId="0" fontId="135" fillId="0" borderId="120" xfId="0" applyFont="1" applyFill="1" applyBorder="1" applyAlignment="1" applyProtection="1">
      <alignment horizontal="center"/>
      <protection hidden="1" locked="0"/>
    </xf>
    <xf numFmtId="0" fontId="135" fillId="0" borderId="29" xfId="0" applyFont="1" applyFill="1" applyBorder="1" applyAlignment="1" applyProtection="1">
      <alignment horizontal="center"/>
      <protection hidden="1" locked="0"/>
    </xf>
    <xf numFmtId="0" fontId="135" fillId="0" borderId="21" xfId="0" applyFont="1" applyFill="1" applyBorder="1" applyAlignment="1" applyProtection="1">
      <alignment horizontal="center"/>
      <protection hidden="1" locked="0"/>
    </xf>
    <xf numFmtId="0" fontId="137" fillId="0" borderId="69" xfId="0" applyFont="1" applyFill="1" applyBorder="1" applyAlignment="1" applyProtection="1">
      <alignment horizontal="center"/>
      <protection hidden="1" locked="0"/>
    </xf>
    <xf numFmtId="0" fontId="135" fillId="0" borderId="48" xfId="0" applyFont="1" applyFill="1" applyBorder="1" applyAlignment="1" applyProtection="1">
      <alignment horizontal="center"/>
      <protection hidden="1" locked="0"/>
    </xf>
    <xf numFmtId="0" fontId="135" fillId="0" borderId="37" xfId="0" applyFont="1" applyFill="1" applyBorder="1" applyAlignment="1" applyProtection="1">
      <alignment horizontal="center"/>
      <protection hidden="1" locked="0"/>
    </xf>
    <xf numFmtId="0" fontId="137" fillId="0" borderId="68" xfId="0" applyFont="1" applyFill="1" applyBorder="1" applyAlignment="1" applyProtection="1">
      <alignment horizontal="center"/>
      <protection hidden="1" locked="0"/>
    </xf>
    <xf numFmtId="0" fontId="135" fillId="0" borderId="20" xfId="0" applyFont="1" applyFill="1" applyBorder="1" applyAlignment="1" applyProtection="1">
      <alignment horizontal="left" vertical="center"/>
      <protection locked="0"/>
    </xf>
    <xf numFmtId="0" fontId="135" fillId="0" borderId="118" xfId="0" applyFont="1" applyFill="1" applyBorder="1" applyAlignment="1" applyProtection="1">
      <alignment horizontal="left" vertical="center"/>
      <protection locked="0"/>
    </xf>
    <xf numFmtId="0" fontId="135" fillId="0" borderId="23" xfId="0" applyFont="1" applyFill="1" applyBorder="1" applyAlignment="1" applyProtection="1">
      <alignment horizontal="left" vertical="center"/>
      <protection locked="0"/>
    </xf>
    <xf numFmtId="0" fontId="136" fillId="0" borderId="61" xfId="0" applyFont="1" applyFill="1" applyBorder="1" applyAlignment="1" applyProtection="1">
      <alignment horizontal="left"/>
      <protection hidden="1"/>
    </xf>
    <xf numFmtId="170" fontId="137" fillId="0" borderId="0" xfId="0" applyNumberFormat="1" applyFont="1" applyFill="1" applyBorder="1" applyAlignment="1" applyProtection="1">
      <alignment horizontal="left"/>
      <protection hidden="1"/>
    </xf>
    <xf numFmtId="0" fontId="173" fillId="0" borderId="0" xfId="198" applyFont="1" applyFill="1" applyBorder="1" applyAlignment="1" applyProtection="1">
      <alignment horizontal="center" vertical="center"/>
      <protection hidden="1"/>
    </xf>
    <xf numFmtId="0" fontId="135" fillId="0" borderId="27" xfId="0" applyFont="1" applyFill="1" applyBorder="1" applyAlignment="1" applyProtection="1">
      <alignment horizontal="center"/>
      <protection hidden="1" locked="0"/>
    </xf>
    <xf numFmtId="0" fontId="141" fillId="0" borderId="114" xfId="0" applyFont="1" applyFill="1" applyBorder="1" applyAlignment="1" applyProtection="1">
      <alignment horizontal="justify" vertical="center" wrapText="1"/>
      <protection hidden="1"/>
    </xf>
    <xf numFmtId="0" fontId="174" fillId="0" borderId="21" xfId="0" applyFont="1" applyFill="1" applyBorder="1" applyAlignment="1" applyProtection="1">
      <alignment horizontal="center" vertical="center"/>
      <protection hidden="1"/>
    </xf>
    <xf numFmtId="0" fontId="175" fillId="0" borderId="21" xfId="0" applyFont="1" applyFill="1" applyBorder="1" applyAlignment="1" applyProtection="1">
      <alignment horizontal="center" vertical="center"/>
      <protection hidden="1"/>
    </xf>
    <xf numFmtId="0" fontId="177" fillId="0" borderId="0" xfId="0" applyFont="1" applyFill="1" applyBorder="1" applyAlignment="1" applyProtection="1">
      <alignment horizontal="justify" vertical="center" wrapText="1"/>
      <protection hidden="1"/>
    </xf>
    <xf numFmtId="0" fontId="24" fillId="0" borderId="0" xfId="0" applyFont="1" applyFill="1" applyBorder="1" applyAlignment="1">
      <alignment horizontal="justify" vertical="center" wrapText="1"/>
    </xf>
    <xf numFmtId="0" fontId="142" fillId="0" borderId="0" xfId="0" applyFont="1" applyBorder="1" applyAlignment="1">
      <alignment horizontal="left"/>
    </xf>
    <xf numFmtId="0" fontId="142" fillId="0" borderId="0" xfId="0" applyFont="1" applyBorder="1" applyAlignment="1">
      <alignment/>
    </xf>
    <xf numFmtId="0" fontId="95" fillId="0" borderId="0" xfId="0" applyFont="1" applyBorder="1" applyAlignment="1">
      <alignment horizontal="center"/>
    </xf>
    <xf numFmtId="0" fontId="72" fillId="0" borderId="0" xfId="0" applyFont="1" applyBorder="1" applyAlignment="1">
      <alignment horizontal="center"/>
    </xf>
    <xf numFmtId="0" fontId="24" fillId="0" borderId="0" xfId="0" applyFont="1" applyBorder="1" applyAlignment="1">
      <alignment horizontal="center"/>
    </xf>
    <xf numFmtId="0" fontId="142" fillId="0" borderId="0" xfId="0" applyFont="1" applyBorder="1" applyAlignment="1">
      <alignment horizontal="center"/>
    </xf>
    <xf numFmtId="0" fontId="28" fillId="0" borderId="0" xfId="0" applyFont="1" applyBorder="1" applyAlignment="1">
      <alignment horizontal="center"/>
    </xf>
    <xf numFmtId="0" fontId="180" fillId="0" borderId="0" xfId="0" applyFont="1" applyBorder="1" applyAlignment="1">
      <alignment horizontal="center"/>
    </xf>
    <xf numFmtId="0" fontId="142" fillId="0" borderId="0" xfId="0" applyFont="1" applyBorder="1" applyAlignment="1">
      <alignment horizontal="right"/>
    </xf>
    <xf numFmtId="0" fontId="183" fillId="0" borderId="0" xfId="0" applyFont="1" applyBorder="1" applyAlignment="1">
      <alignment horizontal="center" wrapText="1"/>
    </xf>
    <xf numFmtId="0" fontId="181" fillId="0" borderId="0" xfId="0" applyFont="1" applyBorder="1" applyAlignment="1">
      <alignment horizontal="left" vertical="center" wrapText="1"/>
    </xf>
    <xf numFmtId="0" fontId="192" fillId="0" borderId="0" xfId="0" applyFont="1" applyFill="1" applyBorder="1" applyAlignment="1" applyProtection="1">
      <alignment horizontal="center" vertical="center"/>
      <protection hidden="1" locked="0"/>
    </xf>
    <xf numFmtId="0" fontId="159" fillId="57" borderId="20" xfId="0" applyFont="1" applyFill="1" applyBorder="1" applyAlignment="1">
      <alignment horizontal="left" vertical="center"/>
    </xf>
    <xf numFmtId="0" fontId="197" fillId="58" borderId="23" xfId="0" applyFont="1" applyFill="1" applyBorder="1" applyAlignment="1" applyProtection="1">
      <alignment horizontal="left" vertical="center"/>
      <protection hidden="1"/>
    </xf>
    <xf numFmtId="0" fontId="78" fillId="48" borderId="20" xfId="0" applyFont="1" applyFill="1" applyBorder="1" applyAlignment="1" applyProtection="1">
      <alignment horizontal="center" vertical="center"/>
      <protection hidden="1"/>
    </xf>
    <xf numFmtId="0" fontId="179" fillId="58" borderId="23" xfId="0" applyFont="1" applyFill="1" applyBorder="1" applyAlignment="1" applyProtection="1">
      <alignment horizontal="left" vertical="center"/>
      <protection hidden="1"/>
    </xf>
    <xf numFmtId="0" fontId="199" fillId="31" borderId="23" xfId="0" applyFont="1" applyFill="1" applyBorder="1" applyAlignment="1" applyProtection="1">
      <alignment horizontal="left" vertical="center"/>
      <protection hidden="1"/>
    </xf>
    <xf numFmtId="0" fontId="179" fillId="17" borderId="23" xfId="0" applyFont="1" applyFill="1" applyBorder="1" applyAlignment="1" applyProtection="1">
      <alignment horizontal="left" vertical="center"/>
      <protection hidden="1"/>
    </xf>
    <xf numFmtId="0" fontId="196" fillId="48" borderId="0" xfId="0" applyFont="1" applyFill="1" applyBorder="1" applyAlignment="1" applyProtection="1">
      <alignment horizontal="center" vertical="center"/>
      <protection hidden="1"/>
    </xf>
  </cellXfs>
  <cellStyles count="206">
    <cellStyle name="Normal" xfId="0"/>
    <cellStyle name="20% - Accent1" xfId="15"/>
    <cellStyle name="20% - Accent1 2" xfId="16"/>
    <cellStyle name="20% - Accent1 3" xfId="17"/>
    <cellStyle name="20% - Accent1 4" xfId="18"/>
    <cellStyle name="20% - Accent2" xfId="19"/>
    <cellStyle name="20% - Accent2 2" xfId="20"/>
    <cellStyle name="20% - Accent2 3" xfId="21"/>
    <cellStyle name="20% - Accent2 4" xfId="22"/>
    <cellStyle name="20% - Accent3" xfId="23"/>
    <cellStyle name="20% - Accent3 2" xfId="24"/>
    <cellStyle name="20% - Accent3 3" xfId="25"/>
    <cellStyle name="20% - Accent3 4" xfId="26"/>
    <cellStyle name="20% - Accent4" xfId="27"/>
    <cellStyle name="20% - Accent4 2" xfId="28"/>
    <cellStyle name="20% - Accent4 3" xfId="29"/>
    <cellStyle name="20% - Accent4 4" xfId="30"/>
    <cellStyle name="20% - Accent5" xfId="31"/>
    <cellStyle name="20% - Accent5 2" xfId="32"/>
    <cellStyle name="20% - Accent5 3" xfId="33"/>
    <cellStyle name="20% - Accent5 4" xfId="34"/>
    <cellStyle name="20% - Accent6" xfId="35"/>
    <cellStyle name="20% - Accent6 2" xfId="36"/>
    <cellStyle name="20% - Accent6 3" xfId="37"/>
    <cellStyle name="20% - Accent6 4" xfId="38"/>
    <cellStyle name="40% - Accent1" xfId="39"/>
    <cellStyle name="40% - Accent1 2" xfId="40"/>
    <cellStyle name="40% - Accent1 3" xfId="41"/>
    <cellStyle name="40% - Accent1 4" xfId="42"/>
    <cellStyle name="40% - Accent2" xfId="43"/>
    <cellStyle name="40% - Accent2 2" xfId="44"/>
    <cellStyle name="40% - Accent2 3" xfId="45"/>
    <cellStyle name="40% - Accent2 4" xfId="46"/>
    <cellStyle name="40% - Accent3" xfId="47"/>
    <cellStyle name="40% - Accent3 2" xfId="48"/>
    <cellStyle name="40% - Accent3 3" xfId="49"/>
    <cellStyle name="40% - Accent3 4" xfId="50"/>
    <cellStyle name="40% - Accent4" xfId="51"/>
    <cellStyle name="40% - Accent4 2" xfId="52"/>
    <cellStyle name="40% - Accent4 3" xfId="53"/>
    <cellStyle name="40% - Accent4 4" xfId="54"/>
    <cellStyle name="40% - Accent5" xfId="55"/>
    <cellStyle name="40% - Accent5 2" xfId="56"/>
    <cellStyle name="40% - Accent5 3" xfId="57"/>
    <cellStyle name="40% - Accent5 4" xfId="58"/>
    <cellStyle name="40% - Accent6" xfId="59"/>
    <cellStyle name="40% - Accent6 2" xfId="60"/>
    <cellStyle name="40% - Accent6 3" xfId="61"/>
    <cellStyle name="40% - Accent6 4" xfId="62"/>
    <cellStyle name="60% - Accent1" xfId="63"/>
    <cellStyle name="60% - Accent1 2" xfId="64"/>
    <cellStyle name="60% - Accent1 3" xfId="65"/>
    <cellStyle name="60% - Accent1 4" xfId="66"/>
    <cellStyle name="60% - Accent2" xfId="67"/>
    <cellStyle name="60% - Accent2 2" xfId="68"/>
    <cellStyle name="60% - Accent2 3" xfId="69"/>
    <cellStyle name="60% - Accent2 4" xfId="70"/>
    <cellStyle name="60% - Accent3" xfId="71"/>
    <cellStyle name="60% - Accent3 2" xfId="72"/>
    <cellStyle name="60% - Accent3 3" xfId="73"/>
    <cellStyle name="60% - Accent3 4" xfId="74"/>
    <cellStyle name="60% - Accent4" xfId="75"/>
    <cellStyle name="60% - Accent4 2" xfId="76"/>
    <cellStyle name="60% - Accent4 3" xfId="77"/>
    <cellStyle name="60% - Accent4 4" xfId="78"/>
    <cellStyle name="60% - Accent5" xfId="79"/>
    <cellStyle name="60% - Accent5 2" xfId="80"/>
    <cellStyle name="60% - Accent5 3" xfId="81"/>
    <cellStyle name="60% - Accent5 4" xfId="82"/>
    <cellStyle name="60% - Accent6" xfId="83"/>
    <cellStyle name="60% - Accent6 2" xfId="84"/>
    <cellStyle name="60% - Accent6 3" xfId="85"/>
    <cellStyle name="60% - Accent6 4" xfId="86"/>
    <cellStyle name="Accent1" xfId="87"/>
    <cellStyle name="Accent1 2" xfId="88"/>
    <cellStyle name="Accent1 3" xfId="89"/>
    <cellStyle name="Accent1 4" xfId="90"/>
    <cellStyle name="Accent2" xfId="91"/>
    <cellStyle name="Accent2 2" xfId="92"/>
    <cellStyle name="Accent2 3" xfId="93"/>
    <cellStyle name="Accent2 4" xfId="94"/>
    <cellStyle name="Accent3" xfId="95"/>
    <cellStyle name="Accent3 2" xfId="96"/>
    <cellStyle name="Accent3 3" xfId="97"/>
    <cellStyle name="Accent3 4" xfId="98"/>
    <cellStyle name="Accent4" xfId="99"/>
    <cellStyle name="Accent4 2" xfId="100"/>
    <cellStyle name="Accent4 3" xfId="101"/>
    <cellStyle name="Accent4 4" xfId="102"/>
    <cellStyle name="Accent5" xfId="103"/>
    <cellStyle name="Accent5 2" xfId="104"/>
    <cellStyle name="Accent5 3" xfId="105"/>
    <cellStyle name="Accent5 4" xfId="106"/>
    <cellStyle name="Accent6" xfId="107"/>
    <cellStyle name="Accent6 2" xfId="108"/>
    <cellStyle name="Accent6 3" xfId="109"/>
    <cellStyle name="Accent6 4" xfId="110"/>
    <cellStyle name="Bad" xfId="111"/>
    <cellStyle name="Bad 2" xfId="112"/>
    <cellStyle name="Bad 3" xfId="113"/>
    <cellStyle name="Bad 4" xfId="114"/>
    <cellStyle name="Calculation" xfId="115"/>
    <cellStyle name="Calculation 2" xfId="116"/>
    <cellStyle name="Calculation 3" xfId="117"/>
    <cellStyle name="Calculation 4" xfId="118"/>
    <cellStyle name="Check Cell" xfId="119"/>
    <cellStyle name="Check Cell 2" xfId="120"/>
    <cellStyle name="Check Cell 3" xfId="121"/>
    <cellStyle name="Check Cell 4" xfId="122"/>
    <cellStyle name="Comma" xfId="123"/>
    <cellStyle name="Comma [0]" xfId="124"/>
    <cellStyle name="Currency" xfId="125"/>
    <cellStyle name="Currency [0]" xfId="126"/>
    <cellStyle name="Excel_BuiltIn_Good" xfId="127"/>
    <cellStyle name="Explanatory Text" xfId="128"/>
    <cellStyle name="Explanatory Text 2" xfId="129"/>
    <cellStyle name="Explanatory Text 3" xfId="130"/>
    <cellStyle name="Explanatory Text 4" xfId="131"/>
    <cellStyle name="Followed Hyperlink" xfId="132"/>
    <cellStyle name="Good" xfId="133"/>
    <cellStyle name="Good 2" xfId="134"/>
    <cellStyle name="Good 3" xfId="135"/>
    <cellStyle name="Good 4" xfId="136"/>
    <cellStyle name="Heading 1" xfId="137"/>
    <cellStyle name="Heading 1 2" xfId="138"/>
    <cellStyle name="Heading 1 3" xfId="139"/>
    <cellStyle name="Heading 1 4" xfId="140"/>
    <cellStyle name="Heading 2" xfId="141"/>
    <cellStyle name="Heading 2 2" xfId="142"/>
    <cellStyle name="Heading 2 3" xfId="143"/>
    <cellStyle name="Heading 2 4" xfId="144"/>
    <cellStyle name="Heading 3" xfId="145"/>
    <cellStyle name="Heading 3 2" xfId="146"/>
    <cellStyle name="Heading 3 3" xfId="147"/>
    <cellStyle name="Heading 3 4" xfId="148"/>
    <cellStyle name="Heading 4" xfId="149"/>
    <cellStyle name="Heading 4 2" xfId="150"/>
    <cellStyle name="Heading 4 3" xfId="151"/>
    <cellStyle name="Heading 4 4" xfId="152"/>
    <cellStyle name="Hyperlink" xfId="153"/>
    <cellStyle name="Input" xfId="154"/>
    <cellStyle name="Input 2" xfId="155"/>
    <cellStyle name="Input 3" xfId="156"/>
    <cellStyle name="Input 4" xfId="157"/>
    <cellStyle name="Linked Cell" xfId="158"/>
    <cellStyle name="Linked Cell 2" xfId="159"/>
    <cellStyle name="Linked Cell 3" xfId="160"/>
    <cellStyle name="Linked Cell 4" xfId="161"/>
    <cellStyle name="Neutral" xfId="162"/>
    <cellStyle name="Neutral 2" xfId="163"/>
    <cellStyle name="Neutral 3" xfId="164"/>
    <cellStyle name="Neutral 4" xfId="165"/>
    <cellStyle name="Normal 10" xfId="166"/>
    <cellStyle name="Normal 2" xfId="167"/>
    <cellStyle name="Normal 2 2" xfId="168"/>
    <cellStyle name="Normal 2 3" xfId="169"/>
    <cellStyle name="Normal 2 4" xfId="170"/>
    <cellStyle name="Normal 2 5" xfId="171"/>
    <cellStyle name="Normal 2 6" xfId="172"/>
    <cellStyle name="Normal 2 7" xfId="173"/>
    <cellStyle name="Normal 3" xfId="174"/>
    <cellStyle name="Normal 3 2" xfId="175"/>
    <cellStyle name="Normal 3 3" xfId="176"/>
    <cellStyle name="Normal 3 4" xfId="177"/>
    <cellStyle name="Normal 3_E L ,HPL &amp; AGE AUTO&amp;SSC MARKS" xfId="178"/>
    <cellStyle name="Normal 4" xfId="179"/>
    <cellStyle name="Normal 4 2" xfId="180"/>
    <cellStyle name="Normal 4 3" xfId="181"/>
    <cellStyle name="Normal 4 4" xfId="182"/>
    <cellStyle name="Normal 5" xfId="183"/>
    <cellStyle name="Normal 5 2" xfId="184"/>
    <cellStyle name="Normal 5 3" xfId="185"/>
    <cellStyle name="Normal 5 4" xfId="186"/>
    <cellStyle name="Normal 6" xfId="187"/>
    <cellStyle name="Normal 6 2" xfId="188"/>
    <cellStyle name="Normal 6 3" xfId="189"/>
    <cellStyle name="Normal 6 4" xfId="190"/>
    <cellStyle name="Normal 7" xfId="191"/>
    <cellStyle name="Normal 7 2" xfId="192"/>
    <cellStyle name="Normal 7 3" xfId="193"/>
    <cellStyle name="Normal 7 4" xfId="194"/>
    <cellStyle name="Normal 7 5" xfId="195"/>
    <cellStyle name="Normal 8" xfId="196"/>
    <cellStyle name="Normal 9" xfId="197"/>
    <cellStyle name="Normal_Converts Numbers to Rupees in Words" xfId="198"/>
    <cellStyle name="Note" xfId="199"/>
    <cellStyle name="Note 2" xfId="200"/>
    <cellStyle name="Note 3" xfId="201"/>
    <cellStyle name="Note 4" xfId="202"/>
    <cellStyle name="Output" xfId="203"/>
    <cellStyle name="Output 2" xfId="204"/>
    <cellStyle name="Output 3" xfId="205"/>
    <cellStyle name="Output 4" xfId="206"/>
    <cellStyle name="Percent" xfId="207"/>
    <cellStyle name="Title" xfId="208"/>
    <cellStyle name="Title 2" xfId="209"/>
    <cellStyle name="Title 3" xfId="210"/>
    <cellStyle name="Title 4" xfId="211"/>
    <cellStyle name="Total" xfId="212"/>
    <cellStyle name="Total 2" xfId="213"/>
    <cellStyle name="Total 3" xfId="214"/>
    <cellStyle name="Total 4" xfId="215"/>
    <cellStyle name="Warning Text" xfId="216"/>
    <cellStyle name="Warning Text 2" xfId="217"/>
    <cellStyle name="Warning Text 3" xfId="218"/>
    <cellStyle name="Warning Text 4" xfId="219"/>
  </cellStyles>
  <dxfs count="2">
    <dxf>
      <font>
        <b val="0"/>
        <sz val="11"/>
        <color indexed="8"/>
      </font>
    </dxf>
    <dxf>
      <font>
        <b val="0"/>
        <sz val="11"/>
        <color rgb="FF00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EFEF00"/>
      <rgbColor rgb="0000FFFF"/>
      <rgbColor rgb="00800080"/>
      <rgbColor rgb="00800000"/>
      <rgbColor rgb="00008080"/>
      <rgbColor rgb="000000FF"/>
      <rgbColor rgb="0000CCFF"/>
      <rgbColor rgb="00BFEFB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35</xdr:row>
      <xdr:rowOff>57150</xdr:rowOff>
    </xdr:from>
    <xdr:to>
      <xdr:col>2</xdr:col>
      <xdr:colOff>2705100</xdr:colOff>
      <xdr:row>40</xdr:row>
      <xdr:rowOff>161925</xdr:rowOff>
    </xdr:to>
    <xdr:pic>
      <xdr:nvPicPr>
        <xdr:cNvPr id="1" name="Picture 1"/>
        <xdr:cNvPicPr preferRelativeResize="1">
          <a:picLocks noChangeAspect="1"/>
        </xdr:cNvPicPr>
      </xdr:nvPicPr>
      <xdr:blipFill>
        <a:blip r:embed="rId1"/>
        <a:stretch>
          <a:fillRect/>
        </a:stretch>
      </xdr:blipFill>
      <xdr:spPr>
        <a:xfrm>
          <a:off x="190500" y="15249525"/>
          <a:ext cx="5114925" cy="11049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5</xdr:row>
      <xdr:rowOff>9525</xdr:rowOff>
    </xdr:from>
    <xdr:to>
      <xdr:col>12</xdr:col>
      <xdr:colOff>47625</xdr:colOff>
      <xdr:row>8</xdr:row>
      <xdr:rowOff>28575</xdr:rowOff>
    </xdr:to>
    <xdr:sp>
      <xdr:nvSpPr>
        <xdr:cNvPr id="1" name="Flowchart: Alternate Process 13"/>
        <xdr:cNvSpPr>
          <a:spLocks/>
        </xdr:cNvSpPr>
      </xdr:nvSpPr>
      <xdr:spPr>
        <a:xfrm>
          <a:off x="6124575" y="1000125"/>
          <a:ext cx="1238250" cy="495300"/>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BACK</a:t>
          </a:r>
        </a:p>
      </xdr:txBody>
    </xdr:sp>
    <xdr:clientData/>
  </xdr:twoCellAnchor>
  <xdr:twoCellAnchor>
    <xdr:from>
      <xdr:col>10</xdr:col>
      <xdr:colOff>0</xdr:colOff>
      <xdr:row>43</xdr:row>
      <xdr:rowOff>0</xdr:rowOff>
    </xdr:from>
    <xdr:to>
      <xdr:col>12</xdr:col>
      <xdr:colOff>19050</xdr:colOff>
      <xdr:row>45</xdr:row>
      <xdr:rowOff>104775</xdr:rowOff>
    </xdr:to>
    <xdr:sp>
      <xdr:nvSpPr>
        <xdr:cNvPr id="2" name="Flowchart: Alternate Process 13"/>
        <xdr:cNvSpPr>
          <a:spLocks/>
        </xdr:cNvSpPr>
      </xdr:nvSpPr>
      <xdr:spPr>
        <a:xfrm>
          <a:off x="6096000" y="7277100"/>
          <a:ext cx="1238250" cy="485775"/>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BACK</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109</xdr:col>
      <xdr:colOff>9525</xdr:colOff>
      <xdr:row>15</xdr:row>
      <xdr:rowOff>352425</xdr:rowOff>
    </xdr:from>
    <xdr:to>
      <xdr:col>110</xdr:col>
      <xdr:colOff>285750</xdr:colOff>
      <xdr:row>20</xdr:row>
      <xdr:rowOff>133350</xdr:rowOff>
    </xdr:to>
    <xdr:sp>
      <xdr:nvSpPr>
        <xdr:cNvPr id="1" name="Rounded Rectangle 8"/>
        <xdr:cNvSpPr>
          <a:spLocks/>
        </xdr:cNvSpPr>
      </xdr:nvSpPr>
      <xdr:spPr>
        <a:xfrm>
          <a:off x="7248525" y="838200"/>
          <a:ext cx="885825" cy="1343025"/>
        </a:xfrm>
        <a:prstGeom prst="roundRect">
          <a:avLst/>
        </a:prstGeom>
        <a:solidFill>
          <a:srgbClr val="C0504D"/>
        </a:solidFill>
        <a:ln w="25560" cmpd="sng">
          <a:solidFill>
            <a:srgbClr val="000000"/>
          </a:solidFill>
          <a:prstDash val="sysDot"/>
          <a:headEnd type="none"/>
          <a:tailEnd type="none"/>
        </a:ln>
      </xdr:spPr>
      <xdr:txBody>
        <a:bodyPr vertOverflow="clip" wrap="square" lIns="90000" tIns="46800" rIns="90000" bIns="46800" anchor="ctr"/>
        <a:p>
          <a:pPr algn="ctr">
            <a:defRPr/>
          </a:pPr>
          <a:r>
            <a:rPr lang="en-US" cap="none" sz="1000" b="0" i="0" u="none" baseline="0">
              <a:solidFill>
                <a:srgbClr val="000000"/>
              </a:solidFill>
            </a:rPr>
            <a:t>Back to HOME </a:t>
          </a:r>
          <a:r>
            <a:rPr lang="en-US" cap="none" sz="1400" b="0" i="0" u="none" baseline="0">
              <a:solidFill>
                <a:srgbClr val="000000"/>
              </a:solidFill>
            </a:rPr>
            <a:t>                 </a:t>
          </a:r>
          <a:r>
            <a:rPr lang="en-US" cap="none" sz="1100" b="0" i="0" u="none" baseline="0">
              <a:solidFill>
                <a:srgbClr val="000000"/>
              </a:solidFill>
            </a:rPr>
            <a:t>data  sheet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37</xdr:row>
      <xdr:rowOff>85725</xdr:rowOff>
    </xdr:from>
    <xdr:to>
      <xdr:col>8</xdr:col>
      <xdr:colOff>447675</xdr:colOff>
      <xdr:row>40</xdr:row>
      <xdr:rowOff>95250</xdr:rowOff>
    </xdr:to>
    <xdr:sp>
      <xdr:nvSpPr>
        <xdr:cNvPr id="1" name="Rounded Rectangle 12"/>
        <xdr:cNvSpPr>
          <a:spLocks/>
        </xdr:cNvSpPr>
      </xdr:nvSpPr>
      <xdr:spPr>
        <a:xfrm>
          <a:off x="7600950" y="2952750"/>
          <a:ext cx="2305050" cy="781050"/>
        </a:xfrm>
        <a:prstGeom prst="roundRect">
          <a:avLst/>
        </a:prstGeom>
        <a:solidFill>
          <a:srgbClr val="FFCC99"/>
        </a:solidFill>
        <a:ln w="25560" cmpd="sng">
          <a:solidFill>
            <a:srgbClr val="F79646"/>
          </a:solidFill>
          <a:headEnd type="none"/>
          <a:tailEnd type="none"/>
        </a:ln>
      </xdr:spPr>
      <xdr:txBody>
        <a:bodyPr vertOverflow="clip" wrap="square" lIns="90000" tIns="46800" rIns="90000" bIns="46800" anchor="ctr"/>
        <a:p>
          <a:pPr algn="ctr">
            <a:defRPr/>
          </a:pPr>
          <a:r>
            <a:rPr lang="en-US" cap="none" sz="1200" b="0" i="0" u="none" baseline="0">
              <a:solidFill>
                <a:srgbClr val="FF0000"/>
              </a:solidFill>
            </a:rPr>
            <a:t>BACK TO 
</a:t>
          </a:r>
          <a:r>
            <a:rPr lang="en-US" cap="none" sz="1200" b="0" i="0" u="none" baseline="0">
              <a:solidFill>
                <a:srgbClr val="FF0000"/>
              </a:solidFill>
            </a:rPr>
            <a:t>I.T MODEL-I</a:t>
          </a:r>
        </a:p>
      </xdr:txBody>
    </xdr:sp>
    <xdr:clientData/>
  </xdr:twoCellAnchor>
  <xdr:twoCellAnchor>
    <xdr:from>
      <xdr:col>0</xdr:col>
      <xdr:colOff>0</xdr:colOff>
      <xdr:row>36</xdr:row>
      <xdr:rowOff>9525</xdr:rowOff>
    </xdr:from>
    <xdr:to>
      <xdr:col>3</xdr:col>
      <xdr:colOff>0</xdr:colOff>
      <xdr:row>38</xdr:row>
      <xdr:rowOff>152400</xdr:rowOff>
    </xdr:to>
    <xdr:sp>
      <xdr:nvSpPr>
        <xdr:cNvPr id="2" name="Rounded Rectangle 12"/>
        <xdr:cNvSpPr>
          <a:spLocks/>
        </xdr:cNvSpPr>
      </xdr:nvSpPr>
      <xdr:spPr>
        <a:xfrm>
          <a:off x="0" y="2686050"/>
          <a:ext cx="4524375" cy="523875"/>
        </a:xfrm>
        <a:prstGeom prst="roundRect">
          <a:avLst/>
        </a:prstGeom>
        <a:solidFill>
          <a:srgbClr val="FFCC99"/>
        </a:solidFill>
        <a:ln w="25560" cmpd="sng">
          <a:solidFill>
            <a:srgbClr val="F79646"/>
          </a:solidFill>
          <a:headEnd type="none"/>
          <a:tailEnd type="none"/>
        </a:ln>
      </xdr:spPr>
      <xdr:txBody>
        <a:bodyPr vertOverflow="clip" wrap="square" lIns="90000" tIns="46800" rIns="90000" bIns="46800" anchor="ctr"/>
        <a:p>
          <a:pPr algn="ctr">
            <a:defRPr/>
          </a:pPr>
          <a:r>
            <a:rPr lang="en-US" cap="none" sz="1200" b="0" i="0" u="none" baseline="0">
              <a:solidFill>
                <a:srgbClr val="FF0000"/>
              </a:solidFill>
            </a:rPr>
            <a:t>BACK TO I.T MODEL-I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361950</xdr:colOff>
      <xdr:row>10</xdr:row>
      <xdr:rowOff>333375</xdr:rowOff>
    </xdr:from>
    <xdr:to>
      <xdr:col>11</xdr:col>
      <xdr:colOff>361950</xdr:colOff>
      <xdr:row>11</xdr:row>
      <xdr:rowOff>171450</xdr:rowOff>
    </xdr:to>
    <xdr:sp>
      <xdr:nvSpPr>
        <xdr:cNvPr id="1" name="Straight Arrow Connector 21"/>
        <xdr:cNvSpPr>
          <a:spLocks/>
        </xdr:cNvSpPr>
      </xdr:nvSpPr>
      <xdr:spPr>
        <a:xfrm flipH="1">
          <a:off x="10753725" y="3019425"/>
          <a:ext cx="0" cy="228600"/>
        </a:xfrm>
        <a:prstGeom prst="straightConnector1">
          <a:avLst/>
        </a:prstGeom>
        <a:noFill/>
        <a:ln w="9360" cmpd="sng">
          <a:solidFill>
            <a:srgbClr val="4A7EBB"/>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1143000</xdr:colOff>
      <xdr:row>10</xdr:row>
      <xdr:rowOff>219075</xdr:rowOff>
    </xdr:from>
    <xdr:to>
      <xdr:col>3</xdr:col>
      <xdr:colOff>523875</xdr:colOff>
      <xdr:row>10</xdr:row>
      <xdr:rowOff>219075</xdr:rowOff>
    </xdr:to>
    <xdr:sp>
      <xdr:nvSpPr>
        <xdr:cNvPr id="2" name="Straight Arrow Connector 7"/>
        <xdr:cNvSpPr>
          <a:spLocks/>
        </xdr:cNvSpPr>
      </xdr:nvSpPr>
      <xdr:spPr>
        <a:xfrm>
          <a:off x="3648075" y="2905125"/>
          <a:ext cx="600075" cy="0"/>
        </a:xfrm>
        <a:prstGeom prst="straightConnector1">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904875</xdr:colOff>
      <xdr:row>10</xdr:row>
      <xdr:rowOff>285750</xdr:rowOff>
    </xdr:from>
    <xdr:to>
      <xdr:col>6</xdr:col>
      <xdr:colOff>1504950</xdr:colOff>
      <xdr:row>10</xdr:row>
      <xdr:rowOff>285750</xdr:rowOff>
    </xdr:to>
    <xdr:sp>
      <xdr:nvSpPr>
        <xdr:cNvPr id="3" name="Straight Arrow Connector 5"/>
        <xdr:cNvSpPr>
          <a:spLocks/>
        </xdr:cNvSpPr>
      </xdr:nvSpPr>
      <xdr:spPr>
        <a:xfrm>
          <a:off x="6505575" y="2971800"/>
          <a:ext cx="600075" cy="0"/>
        </a:xfrm>
        <a:prstGeom prst="straightConnector1">
          <a:avLst/>
        </a:prstGeom>
        <a:noFill/>
        <a:ln w="9360"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161925</xdr:rowOff>
    </xdr:from>
    <xdr:to>
      <xdr:col>3</xdr:col>
      <xdr:colOff>285750</xdr:colOff>
      <xdr:row>32</xdr:row>
      <xdr:rowOff>85725</xdr:rowOff>
    </xdr:to>
    <xdr:sp>
      <xdr:nvSpPr>
        <xdr:cNvPr id="1" name="Flowchart: Alternate Process 13"/>
        <xdr:cNvSpPr>
          <a:spLocks/>
        </xdr:cNvSpPr>
      </xdr:nvSpPr>
      <xdr:spPr>
        <a:xfrm>
          <a:off x="0" y="7962900"/>
          <a:ext cx="1714500" cy="495300"/>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BACK</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75</xdr:row>
      <xdr:rowOff>66675</xdr:rowOff>
    </xdr:from>
    <xdr:to>
      <xdr:col>8</xdr:col>
      <xdr:colOff>571500</xdr:colOff>
      <xdr:row>77</xdr:row>
      <xdr:rowOff>133350</xdr:rowOff>
    </xdr:to>
    <xdr:sp>
      <xdr:nvSpPr>
        <xdr:cNvPr id="1" name="Flowchart: Alternate Process 13"/>
        <xdr:cNvSpPr>
          <a:spLocks/>
        </xdr:cNvSpPr>
      </xdr:nvSpPr>
      <xdr:spPr>
        <a:xfrm>
          <a:off x="2066925" y="13030200"/>
          <a:ext cx="2019300" cy="485775"/>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BACK</a:t>
          </a:r>
        </a:p>
      </xdr:txBody>
    </xdr:sp>
    <xdr:clientData/>
  </xdr:twoCellAnchor>
  <xdr:twoCellAnchor>
    <xdr:from>
      <xdr:col>14</xdr:col>
      <xdr:colOff>133350</xdr:colOff>
      <xdr:row>2</xdr:row>
      <xdr:rowOff>152400</xdr:rowOff>
    </xdr:from>
    <xdr:to>
      <xdr:col>14</xdr:col>
      <xdr:colOff>552450</xdr:colOff>
      <xdr:row>16</xdr:row>
      <xdr:rowOff>133350</xdr:rowOff>
    </xdr:to>
    <xdr:sp>
      <xdr:nvSpPr>
        <xdr:cNvPr id="2" name="Flowchart: Alternate Process 13"/>
        <xdr:cNvSpPr>
          <a:spLocks/>
        </xdr:cNvSpPr>
      </xdr:nvSpPr>
      <xdr:spPr>
        <a:xfrm>
          <a:off x="7181850" y="457200"/>
          <a:ext cx="419100" cy="2447925"/>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BACK</a:t>
          </a:r>
        </a:p>
      </xdr:txBody>
    </xdr:sp>
    <xdr:clientData/>
  </xdr:twoCellAnchor>
  <xdr:twoCellAnchor>
    <xdr:from>
      <xdr:col>13</xdr:col>
      <xdr:colOff>133350</xdr:colOff>
      <xdr:row>26</xdr:row>
      <xdr:rowOff>19050</xdr:rowOff>
    </xdr:from>
    <xdr:to>
      <xdr:col>15</xdr:col>
      <xdr:colOff>457200</xdr:colOff>
      <xdr:row>28</xdr:row>
      <xdr:rowOff>85725</xdr:rowOff>
    </xdr:to>
    <xdr:sp>
      <xdr:nvSpPr>
        <xdr:cNvPr id="3" name="Flowchart: Alternate Process 13"/>
        <xdr:cNvSpPr>
          <a:spLocks/>
        </xdr:cNvSpPr>
      </xdr:nvSpPr>
      <xdr:spPr>
        <a:xfrm>
          <a:off x="6877050" y="4429125"/>
          <a:ext cx="1238250" cy="371475"/>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FORM 16-1</a:t>
          </a:r>
        </a:p>
      </xdr:txBody>
    </xdr:sp>
    <xdr:clientData/>
  </xdr:twoCellAnchor>
  <xdr:twoCellAnchor>
    <xdr:from>
      <xdr:col>13</xdr:col>
      <xdr:colOff>123825</xdr:colOff>
      <xdr:row>21</xdr:row>
      <xdr:rowOff>85725</xdr:rowOff>
    </xdr:from>
    <xdr:to>
      <xdr:col>15</xdr:col>
      <xdr:colOff>447675</xdr:colOff>
      <xdr:row>23</xdr:row>
      <xdr:rowOff>142875</xdr:rowOff>
    </xdr:to>
    <xdr:sp>
      <xdr:nvSpPr>
        <xdr:cNvPr id="4" name="Flowchart: Alternate Process 13"/>
        <xdr:cNvSpPr>
          <a:spLocks/>
        </xdr:cNvSpPr>
      </xdr:nvSpPr>
      <xdr:spPr>
        <a:xfrm>
          <a:off x="6867525" y="3714750"/>
          <a:ext cx="1238250" cy="381000"/>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Anne-I</a:t>
          </a:r>
        </a:p>
      </xdr:txBody>
    </xdr:sp>
    <xdr:clientData/>
  </xdr:twoCellAnchor>
  <xdr:twoCellAnchor>
    <xdr:from>
      <xdr:col>13</xdr:col>
      <xdr:colOff>152400</xdr:colOff>
      <xdr:row>29</xdr:row>
      <xdr:rowOff>133350</xdr:rowOff>
    </xdr:from>
    <xdr:to>
      <xdr:col>15</xdr:col>
      <xdr:colOff>476250</xdr:colOff>
      <xdr:row>33</xdr:row>
      <xdr:rowOff>9525</xdr:rowOff>
    </xdr:to>
    <xdr:sp>
      <xdr:nvSpPr>
        <xdr:cNvPr id="5" name="Flowchart: Alternate Process 13"/>
        <xdr:cNvSpPr>
          <a:spLocks/>
        </xdr:cNvSpPr>
      </xdr:nvSpPr>
      <xdr:spPr>
        <a:xfrm>
          <a:off x="6896100" y="5000625"/>
          <a:ext cx="1238250" cy="485775"/>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FORM-16-II</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438150</xdr:colOff>
      <xdr:row>31</xdr:row>
      <xdr:rowOff>9525</xdr:rowOff>
    </xdr:from>
    <xdr:to>
      <xdr:col>43</xdr:col>
      <xdr:colOff>466725</xdr:colOff>
      <xdr:row>31</xdr:row>
      <xdr:rowOff>38100</xdr:rowOff>
    </xdr:to>
    <xdr:sp>
      <xdr:nvSpPr>
        <xdr:cNvPr id="1" name="Oval 28"/>
        <xdr:cNvSpPr>
          <a:spLocks/>
        </xdr:cNvSpPr>
      </xdr:nvSpPr>
      <xdr:spPr>
        <a:xfrm flipV="1">
          <a:off x="27441525" y="5715000"/>
          <a:ext cx="28575" cy="28575"/>
        </a:xfrm>
        <a:prstGeom prst="ellipse">
          <a:avLst/>
        </a:prstGeom>
        <a:solidFill>
          <a:srgbClr val="CC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1038225</xdr:colOff>
      <xdr:row>63</xdr:row>
      <xdr:rowOff>114300</xdr:rowOff>
    </xdr:from>
    <xdr:to>
      <xdr:col>9</xdr:col>
      <xdr:colOff>476250</xdr:colOff>
      <xdr:row>66</xdr:row>
      <xdr:rowOff>76200</xdr:rowOff>
    </xdr:to>
    <xdr:sp>
      <xdr:nvSpPr>
        <xdr:cNvPr id="2" name="Flowchart: Alternate Process 13"/>
        <xdr:cNvSpPr>
          <a:spLocks/>
        </xdr:cNvSpPr>
      </xdr:nvSpPr>
      <xdr:spPr>
        <a:xfrm>
          <a:off x="2724150" y="11487150"/>
          <a:ext cx="2057400" cy="476250"/>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BACK</a:t>
          </a:r>
        </a:p>
      </xdr:txBody>
    </xdr:sp>
    <xdr:clientData/>
  </xdr:twoCellAnchor>
  <xdr:twoCellAnchor>
    <xdr:from>
      <xdr:col>1</xdr:col>
      <xdr:colOff>114300</xdr:colOff>
      <xdr:row>0</xdr:row>
      <xdr:rowOff>28575</xdr:rowOff>
    </xdr:from>
    <xdr:to>
      <xdr:col>3</xdr:col>
      <xdr:colOff>923925</xdr:colOff>
      <xdr:row>0</xdr:row>
      <xdr:rowOff>390525</xdr:rowOff>
    </xdr:to>
    <xdr:sp>
      <xdr:nvSpPr>
        <xdr:cNvPr id="3" name="Flowchart: Alternate Process 13"/>
        <xdr:cNvSpPr>
          <a:spLocks/>
        </xdr:cNvSpPr>
      </xdr:nvSpPr>
      <xdr:spPr>
        <a:xfrm>
          <a:off x="209550" y="28575"/>
          <a:ext cx="1323975" cy="361950"/>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BACK</a:t>
          </a:r>
        </a:p>
      </xdr:txBody>
    </xdr:sp>
    <xdr:clientData/>
  </xdr:twoCellAnchor>
  <xdr:twoCellAnchor>
    <xdr:from>
      <xdr:col>14</xdr:col>
      <xdr:colOff>123825</xdr:colOff>
      <xdr:row>17</xdr:row>
      <xdr:rowOff>0</xdr:rowOff>
    </xdr:from>
    <xdr:to>
      <xdr:col>16</xdr:col>
      <xdr:colOff>257175</xdr:colOff>
      <xdr:row>19</xdr:row>
      <xdr:rowOff>38100</xdr:rowOff>
    </xdr:to>
    <xdr:sp>
      <xdr:nvSpPr>
        <xdr:cNvPr id="4" name="Flowchart: Alternate Process 13"/>
        <xdr:cNvSpPr>
          <a:spLocks/>
        </xdr:cNvSpPr>
      </xdr:nvSpPr>
      <xdr:spPr>
        <a:xfrm>
          <a:off x="6915150" y="3228975"/>
          <a:ext cx="1238250" cy="323850"/>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Anne-I</a:t>
          </a:r>
        </a:p>
      </xdr:txBody>
    </xdr:sp>
    <xdr:clientData/>
  </xdr:twoCellAnchor>
  <xdr:twoCellAnchor>
    <xdr:from>
      <xdr:col>14</xdr:col>
      <xdr:colOff>133350</xdr:colOff>
      <xdr:row>20</xdr:row>
      <xdr:rowOff>38100</xdr:rowOff>
    </xdr:from>
    <xdr:to>
      <xdr:col>16</xdr:col>
      <xdr:colOff>266700</xdr:colOff>
      <xdr:row>22</xdr:row>
      <xdr:rowOff>28575</xdr:rowOff>
    </xdr:to>
    <xdr:sp>
      <xdr:nvSpPr>
        <xdr:cNvPr id="5" name="Flowchart: Alternate Process 13"/>
        <xdr:cNvSpPr>
          <a:spLocks/>
        </xdr:cNvSpPr>
      </xdr:nvSpPr>
      <xdr:spPr>
        <a:xfrm>
          <a:off x="6924675" y="3743325"/>
          <a:ext cx="1238250" cy="371475"/>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Anne-II</a:t>
          </a:r>
        </a:p>
      </xdr:txBody>
    </xdr:sp>
    <xdr:clientData/>
  </xdr:twoCellAnchor>
  <xdr:twoCellAnchor>
    <xdr:from>
      <xdr:col>14</xdr:col>
      <xdr:colOff>190500</xdr:colOff>
      <xdr:row>22</xdr:row>
      <xdr:rowOff>161925</xdr:rowOff>
    </xdr:from>
    <xdr:to>
      <xdr:col>16</xdr:col>
      <xdr:colOff>323850</xdr:colOff>
      <xdr:row>24</xdr:row>
      <xdr:rowOff>152400</xdr:rowOff>
    </xdr:to>
    <xdr:sp>
      <xdr:nvSpPr>
        <xdr:cNvPr id="6" name="Flowchart: Alternate Process 13"/>
        <xdr:cNvSpPr>
          <a:spLocks/>
        </xdr:cNvSpPr>
      </xdr:nvSpPr>
      <xdr:spPr>
        <a:xfrm>
          <a:off x="6981825" y="4248150"/>
          <a:ext cx="1238250" cy="352425"/>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FORM-16-II</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409575</xdr:colOff>
      <xdr:row>66</xdr:row>
      <xdr:rowOff>123825</xdr:rowOff>
    </xdr:from>
    <xdr:to>
      <xdr:col>7</xdr:col>
      <xdr:colOff>228600</xdr:colOff>
      <xdr:row>69</xdr:row>
      <xdr:rowOff>142875</xdr:rowOff>
    </xdr:to>
    <xdr:sp>
      <xdr:nvSpPr>
        <xdr:cNvPr id="1" name="Flowchart: Alternate Process 13"/>
        <xdr:cNvSpPr>
          <a:spLocks/>
        </xdr:cNvSpPr>
      </xdr:nvSpPr>
      <xdr:spPr>
        <a:xfrm>
          <a:off x="1162050" y="11658600"/>
          <a:ext cx="2847975" cy="590550"/>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BACK</a:t>
          </a:r>
        </a:p>
      </xdr:txBody>
    </xdr:sp>
    <xdr:clientData/>
  </xdr:twoCellAnchor>
  <xdr:twoCellAnchor>
    <xdr:from>
      <xdr:col>161</xdr:col>
      <xdr:colOff>104775</xdr:colOff>
      <xdr:row>3</xdr:row>
      <xdr:rowOff>9525</xdr:rowOff>
    </xdr:from>
    <xdr:to>
      <xdr:col>161</xdr:col>
      <xdr:colOff>523875</xdr:colOff>
      <xdr:row>15</xdr:row>
      <xdr:rowOff>9525</xdr:rowOff>
    </xdr:to>
    <xdr:sp>
      <xdr:nvSpPr>
        <xdr:cNvPr id="2" name="Flowchart: Alternate Process 13"/>
        <xdr:cNvSpPr>
          <a:spLocks/>
        </xdr:cNvSpPr>
      </xdr:nvSpPr>
      <xdr:spPr>
        <a:xfrm>
          <a:off x="95897700" y="581025"/>
          <a:ext cx="419100" cy="2390775"/>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BACK</a:t>
          </a:r>
        </a:p>
      </xdr:txBody>
    </xdr:sp>
    <xdr:clientData/>
  </xdr:twoCellAnchor>
  <xdr:twoCellAnchor>
    <xdr:from>
      <xdr:col>161</xdr:col>
      <xdr:colOff>285750</xdr:colOff>
      <xdr:row>39</xdr:row>
      <xdr:rowOff>104775</xdr:rowOff>
    </xdr:from>
    <xdr:to>
      <xdr:col>162</xdr:col>
      <xdr:colOff>95250</xdr:colOff>
      <xdr:row>49</xdr:row>
      <xdr:rowOff>161925</xdr:rowOff>
    </xdr:to>
    <xdr:sp>
      <xdr:nvSpPr>
        <xdr:cNvPr id="3" name="Flowchart: Alternate Process 13"/>
        <xdr:cNvSpPr>
          <a:spLocks/>
        </xdr:cNvSpPr>
      </xdr:nvSpPr>
      <xdr:spPr>
        <a:xfrm>
          <a:off x="96078675" y="7353300"/>
          <a:ext cx="419100" cy="1524000"/>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BACK</a:t>
          </a:r>
        </a:p>
      </xdr:txBody>
    </xdr:sp>
    <xdr:clientData/>
  </xdr:twoCellAnchor>
  <xdr:twoCellAnchor>
    <xdr:from>
      <xdr:col>161</xdr:col>
      <xdr:colOff>104775</xdr:colOff>
      <xdr:row>21</xdr:row>
      <xdr:rowOff>9525</xdr:rowOff>
    </xdr:from>
    <xdr:to>
      <xdr:col>164</xdr:col>
      <xdr:colOff>123825</xdr:colOff>
      <xdr:row>22</xdr:row>
      <xdr:rowOff>152400</xdr:rowOff>
    </xdr:to>
    <xdr:sp>
      <xdr:nvSpPr>
        <xdr:cNvPr id="4" name="Flowchart: Alternate Process 13"/>
        <xdr:cNvSpPr>
          <a:spLocks/>
        </xdr:cNvSpPr>
      </xdr:nvSpPr>
      <xdr:spPr>
        <a:xfrm>
          <a:off x="95897700" y="4133850"/>
          <a:ext cx="1847850" cy="381000"/>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Anne-I</a:t>
          </a:r>
        </a:p>
      </xdr:txBody>
    </xdr:sp>
    <xdr:clientData/>
  </xdr:twoCellAnchor>
  <xdr:twoCellAnchor>
    <xdr:from>
      <xdr:col>161</xdr:col>
      <xdr:colOff>114300</xdr:colOff>
      <xdr:row>23</xdr:row>
      <xdr:rowOff>152400</xdr:rowOff>
    </xdr:from>
    <xdr:to>
      <xdr:col>164</xdr:col>
      <xdr:colOff>133350</xdr:colOff>
      <xdr:row>25</xdr:row>
      <xdr:rowOff>85725</xdr:rowOff>
    </xdr:to>
    <xdr:sp>
      <xdr:nvSpPr>
        <xdr:cNvPr id="5" name="Flowchart: Alternate Process 13"/>
        <xdr:cNvSpPr>
          <a:spLocks/>
        </xdr:cNvSpPr>
      </xdr:nvSpPr>
      <xdr:spPr>
        <a:xfrm>
          <a:off x="95907225" y="4743450"/>
          <a:ext cx="1847850" cy="371475"/>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Anne-II</a:t>
          </a:r>
        </a:p>
      </xdr:txBody>
    </xdr:sp>
    <xdr:clientData/>
  </xdr:twoCellAnchor>
  <xdr:twoCellAnchor>
    <xdr:from>
      <xdr:col>161</xdr:col>
      <xdr:colOff>123825</xdr:colOff>
      <xdr:row>26</xdr:row>
      <xdr:rowOff>47625</xdr:rowOff>
    </xdr:from>
    <xdr:to>
      <xdr:col>164</xdr:col>
      <xdr:colOff>142875</xdr:colOff>
      <xdr:row>27</xdr:row>
      <xdr:rowOff>219075</xdr:rowOff>
    </xdr:to>
    <xdr:sp>
      <xdr:nvSpPr>
        <xdr:cNvPr id="6" name="Flowchart: Alternate Process 13"/>
        <xdr:cNvSpPr>
          <a:spLocks/>
        </xdr:cNvSpPr>
      </xdr:nvSpPr>
      <xdr:spPr>
        <a:xfrm>
          <a:off x="95916750" y="5257800"/>
          <a:ext cx="1847850" cy="352425"/>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FORM 16-1</a:t>
          </a:r>
        </a:p>
      </xdr:txBody>
    </xdr:sp>
    <xdr:clientData/>
  </xdr:twoCellAnchor>
  <xdr:twoCellAnchor>
    <xdr:from>
      <xdr:col>14</xdr:col>
      <xdr:colOff>85725</xdr:colOff>
      <xdr:row>1</xdr:row>
      <xdr:rowOff>161925</xdr:rowOff>
    </xdr:from>
    <xdr:to>
      <xdr:col>14</xdr:col>
      <xdr:colOff>514350</xdr:colOff>
      <xdr:row>10</xdr:row>
      <xdr:rowOff>28575</xdr:rowOff>
    </xdr:to>
    <xdr:sp>
      <xdr:nvSpPr>
        <xdr:cNvPr id="7" name="Flowchart: Alternate Process 13"/>
        <xdr:cNvSpPr>
          <a:spLocks/>
        </xdr:cNvSpPr>
      </xdr:nvSpPr>
      <xdr:spPr>
        <a:xfrm>
          <a:off x="7353300" y="257175"/>
          <a:ext cx="428625" cy="1676400"/>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BACK</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219075</xdr:colOff>
      <xdr:row>4</xdr:row>
      <xdr:rowOff>47625</xdr:rowOff>
    </xdr:from>
    <xdr:to>
      <xdr:col>27</xdr:col>
      <xdr:colOff>904875</xdr:colOff>
      <xdr:row>6</xdr:row>
      <xdr:rowOff>9525</xdr:rowOff>
    </xdr:to>
    <xdr:sp>
      <xdr:nvSpPr>
        <xdr:cNvPr id="1" name="Flowchart: Alternate Process 13"/>
        <xdr:cNvSpPr>
          <a:spLocks/>
        </xdr:cNvSpPr>
      </xdr:nvSpPr>
      <xdr:spPr>
        <a:xfrm>
          <a:off x="6372225" y="857250"/>
          <a:ext cx="914400" cy="352425"/>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BACK</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5</xdr:row>
      <xdr:rowOff>0</xdr:rowOff>
    </xdr:from>
    <xdr:to>
      <xdr:col>13</xdr:col>
      <xdr:colOff>19050</xdr:colOff>
      <xdr:row>7</xdr:row>
      <xdr:rowOff>28575</xdr:rowOff>
    </xdr:to>
    <xdr:sp>
      <xdr:nvSpPr>
        <xdr:cNvPr id="1" name="Flowchart: Alternate Process 13"/>
        <xdr:cNvSpPr>
          <a:spLocks/>
        </xdr:cNvSpPr>
      </xdr:nvSpPr>
      <xdr:spPr>
        <a:xfrm>
          <a:off x="7658100" y="1143000"/>
          <a:ext cx="1238250" cy="485775"/>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BACK</a:t>
          </a:r>
        </a:p>
      </xdr:txBody>
    </xdr:sp>
    <xdr:clientData/>
  </xdr:twoCellAnchor>
  <xdr:twoCellAnchor>
    <xdr:from>
      <xdr:col>8</xdr:col>
      <xdr:colOff>0</xdr:colOff>
      <xdr:row>23</xdr:row>
      <xdr:rowOff>0</xdr:rowOff>
    </xdr:from>
    <xdr:to>
      <xdr:col>10</xdr:col>
      <xdr:colOff>38100</xdr:colOff>
      <xdr:row>25</xdr:row>
      <xdr:rowOff>28575</xdr:rowOff>
    </xdr:to>
    <xdr:sp>
      <xdr:nvSpPr>
        <xdr:cNvPr id="2" name="Flowchart: Alternate Process 13"/>
        <xdr:cNvSpPr>
          <a:spLocks/>
        </xdr:cNvSpPr>
      </xdr:nvSpPr>
      <xdr:spPr>
        <a:xfrm>
          <a:off x="5848350" y="5257800"/>
          <a:ext cx="1238250" cy="485775"/>
        </a:xfrm>
        <a:prstGeom prst="flowChartAlternateProcess">
          <a:avLst/>
        </a:prstGeom>
        <a:solidFill>
          <a:srgbClr val="9BBB59"/>
        </a:solidFill>
        <a:ln w="25560" cmpd="sng">
          <a:solidFill>
            <a:srgbClr val="71893F"/>
          </a:solidFill>
          <a:headEnd type="none"/>
          <a:tailEnd type="none"/>
        </a:ln>
      </xdr:spPr>
      <xdr:txBody>
        <a:bodyPr vertOverflow="clip" wrap="square" lIns="90000" tIns="46800" rIns="90000" bIns="46800" anchor="ctr"/>
        <a:p>
          <a:pPr algn="ctr">
            <a:defRPr/>
          </a:pPr>
          <a:r>
            <a:rPr lang="en-US" cap="none" sz="1500" b="1" i="0" u="none" baseline="0">
              <a:solidFill>
                <a:srgbClr val="FF0000"/>
              </a:solidFill>
              <a:latin typeface="Calibri"/>
              <a:ea typeface="Calibri"/>
              <a:cs typeface="Calibri"/>
            </a:rPr>
            <a:t>BACK</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Folder\Documents%20and%20Settings\kota\Desktop\NET%20DOWNLOADS\prc\SGT-SA-GHM-%20PRC-FORMULA-NEW.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Folder\Documents%20and%20Settings\kota\Desktop\NET%20DOWNLOADS\prc\PRC-FORMULA-FOR%20AL(97-2003)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Folder\Documents%20and%20Settings\kota\Desktop\NEW\miryalguda\SREEDEVI-BALLU%20NAIK%20THAND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New%20Folder\Documents%20and%20Settings\kota\Desktop\New%20Folder\ALL\NEW%20GOS\D%20A%20SOFTWA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New%20Folder\Documents%20and%20Settings\kota\Desktop\RPS,2010\RPS,2010_G.LINGAIAH.ACTO(97-20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New%20Folder\Documents%20and%20Settings\kota\Desktop\NET%20DOWNLOADS\prc\Documents%20and%20Settings\1\Desktop\IT%20PROPOSAL%202009-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XXXXXXXXXXXX"/>
      <sheetName val="XXXXXXXXXXXX0"/>
      <sheetName val="READY RECKNOR"/>
      <sheetName val="RR-SA"/>
      <sheetName val="DATA"/>
      <sheetName val="PROCEEDING"/>
      <sheetName val="appendix-I"/>
      <sheetName val="appendix-II"/>
      <sheetName val="statement"/>
      <sheetName val="pt.adj"/>
      <sheetName val="bank"/>
      <sheetName val="Conversion"/>
      <sheetName val="DROPDOWN"/>
      <sheetName val="T&amp;C"/>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XXXXXXXXXXXXX"/>
      <sheetName val="XXXXXXXXXXXX0"/>
      <sheetName val="ALL39%"/>
      <sheetName val="READY RECKNOR"/>
      <sheetName val="DATA"/>
      <sheetName val="PROCEEDING"/>
      <sheetName val="appendix-I"/>
      <sheetName val="appendix-II"/>
      <sheetName val="statement"/>
      <sheetName val="pt.adj"/>
      <sheetName val="bank"/>
      <sheetName val="Conversion"/>
      <sheetName val="DROPDOWN"/>
      <sheetName val="T&amp;C"/>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dules"/>
      <sheetName val="APTC-47"/>
      <sheetName val="Conversion"/>
      <sheetName val="TOKEN"/>
      <sheetName val="STATEMENT-1"/>
      <sheetName val="BILL"/>
      <sheetName val="PROCEEDING"/>
      <sheetName val="DAT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XXXXXXXXXXXXX"/>
      <sheetName val="XXXXXXXXXXXX0"/>
      <sheetName val="Annexure"/>
      <sheetName val="Option"/>
      <sheetName val="aptc.47"/>
      <sheetName val="ALL39%"/>
      <sheetName val="READY RECKNOR"/>
      <sheetName val="DATA"/>
      <sheetName val="PROCEEDING"/>
      <sheetName val="appendix-I"/>
      <sheetName val="appendix-II"/>
      <sheetName val="statement"/>
      <sheetName val="pt.adj"/>
      <sheetName val="bank"/>
      <sheetName val="Conversion"/>
      <sheetName val="DROPDOWN"/>
      <sheetName val="T&amp;C"/>
      <sheetName val="D.D"/>
      <sheetName val="Sheet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Drop Down"/>
      <sheetName val="T&amp;C"/>
      <sheetName val="DATA"/>
      <sheetName val="Table"/>
      <sheetName val="Statement Page1"/>
      <sheetName val="Statement page2"/>
      <sheetName val="Form 16 Page1"/>
      <sheetName val="Form 16 Page2"/>
      <sheetName val="Annexure"/>
      <sheetName val="ITR 1"/>
      <sheetName val="Basic Pay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hyperlink" Target="http://niftyprediction.blogspot.com/2009/03/section-80c-how-to-save-upto-rs-33000.html" TargetMode="External" /><Relationship Id="rId2" Type="http://schemas.openxmlformats.org/officeDocument/2006/relationships/hyperlink" Target="http://law.incometaxindia.gov.in/DitTaxmann/IncomeTaxActs/2008ITAct/section80D.htm" TargetMode="External" /><Relationship Id="rId3" Type="http://schemas.openxmlformats.org/officeDocument/2006/relationships/hyperlink" Target="http://law.incometaxindia.gov.in/DitTaxmann/IncomeTaxActs/2008ITAct/section80dd.htm" TargetMode="External" /><Relationship Id="rId4" Type="http://schemas.openxmlformats.org/officeDocument/2006/relationships/hyperlink" Target="http://law.incometaxindia.gov.in/DitTaxmann/IncomeTaxActs/2008ITAct/section24.htm" TargetMode="External" /><Relationship Id="rId5" Type="http://schemas.openxmlformats.org/officeDocument/2006/relationships/hyperlink" Target="http://law.incometaxindia.gov.in/DitTaxmann/IncomeTaxActs/2008ITAct/section80GG.htm" TargetMode="External" /><Relationship Id="rId6" Type="http://schemas.openxmlformats.org/officeDocument/2006/relationships/hyperlink" Target="http://law.incometaxindia.gov.in/DitTaxmann/IncomeTaxActs/2008ITAct/section80E.htm" TargetMode="External" /><Relationship Id="rId7" Type="http://schemas.openxmlformats.org/officeDocument/2006/relationships/hyperlink" Target="http://www.vakilno1.com/bareacts/incometaxact/s80g.htm" TargetMode="Externa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hyperlink" Target="http://niftyprediction.blogspot.com/2009/03/section-80c-how-to-save-upto-rs-33000.html"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medakbadi.in/" TargetMode="External" /><Relationship Id="rId2" Type="http://schemas.openxmlformats.org/officeDocument/2006/relationships/hyperlink" Target="http://www.medakbadi.in/" TargetMode="External" /><Relationship Id="rId3" Type="http://schemas.openxmlformats.org/officeDocument/2006/relationships/comments" Target="../comments3.xml" /><Relationship Id="rId4" Type="http://schemas.openxmlformats.org/officeDocument/2006/relationships/package" Target="../embeddings/MBD0526C6B6.pptx" /><Relationship Id="rId5" Type="http://schemas.openxmlformats.org/officeDocument/2006/relationships/vmlDrawing" Target="../drawings/vmlDrawing2.vml" /><Relationship Id="rId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hyperlink" Target="http://www.stuapkurnool.blogspot.com/"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hyperlink" Target="http://www.stuapkurnool.blogspot.com/" TargetMode="Externa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hyperlink" Target="http://www.stuapkurnool.blogspot.com/" TargetMode="External" /><Relationship Id="rId2"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hyperlink" Target="http://www.stuapkurnool.blogspot.com/" TargetMode="External" /><Relationship Id="rId2"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hyperlink" Target="http://www.stuapkurnool.blogspot.com/" TargetMode="External"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indexed="10"/>
  </sheetPr>
  <dimension ref="A2:E70"/>
  <sheetViews>
    <sheetView showGridLines="0" zoomScaleSheetLayoutView="100" zoomScalePageLayoutView="0" workbookViewId="0" topLeftCell="A2">
      <selection activeCell="I5" sqref="I5"/>
    </sheetView>
  </sheetViews>
  <sheetFormatPr defaultColWidth="9.140625" defaultRowHeight="15"/>
  <cols>
    <col min="1" max="1" width="3.00390625" style="0" customWidth="1"/>
    <col min="2" max="2" width="36.00390625" style="0" customWidth="1"/>
    <col min="3" max="3" width="49.57421875" style="0" customWidth="1"/>
    <col min="4" max="4" width="6.28125" style="0" customWidth="1"/>
    <col min="5" max="5" width="5.421875" style="0" customWidth="1"/>
  </cols>
  <sheetData>
    <row r="1" ht="21.75" customHeight="1" hidden="1"/>
    <row r="2" spans="1:3" ht="21.75" customHeight="1">
      <c r="A2" s="875" t="s">
        <v>0</v>
      </c>
      <c r="B2" s="875"/>
      <c r="C2" s="875"/>
    </row>
    <row r="3" spans="1:3" ht="43.5" customHeight="1">
      <c r="A3" s="1"/>
      <c r="B3" s="876" t="s">
        <v>1</v>
      </c>
      <c r="C3" s="876"/>
    </row>
    <row r="4" spans="1:3" ht="20.25" customHeight="1">
      <c r="A4" s="2"/>
      <c r="B4" s="877" t="s">
        <v>2</v>
      </c>
      <c r="C4" s="877"/>
    </row>
    <row r="5" spans="1:3" ht="83.25" customHeight="1">
      <c r="A5" s="3"/>
      <c r="B5" s="878" t="s">
        <v>3</v>
      </c>
      <c r="C5" s="878"/>
    </row>
    <row r="6" ht="2.25" customHeight="1"/>
    <row r="7" spans="2:3" ht="14.25" customHeight="1">
      <c r="B7" s="879" t="s">
        <v>4</v>
      </c>
      <c r="C7" s="879"/>
    </row>
    <row r="8" spans="1:3" ht="15.75">
      <c r="A8" s="4"/>
      <c r="B8" s="4" t="s">
        <v>5</v>
      </c>
      <c r="C8" s="4" t="s">
        <v>6</v>
      </c>
    </row>
    <row r="9" spans="1:3" ht="28.5">
      <c r="A9" s="5" t="s">
        <v>7</v>
      </c>
      <c r="B9" s="6" t="s">
        <v>8</v>
      </c>
      <c r="C9" s="6" t="s">
        <v>9</v>
      </c>
    </row>
    <row r="10" spans="1:3" ht="34.5" customHeight="1">
      <c r="A10" s="880" t="s">
        <v>10</v>
      </c>
      <c r="B10" s="881" t="s">
        <v>11</v>
      </c>
      <c r="C10" s="6" t="s">
        <v>12</v>
      </c>
    </row>
    <row r="11" spans="1:3" ht="45.75" customHeight="1">
      <c r="A11" s="880"/>
      <c r="B11" s="881"/>
      <c r="C11" s="7" t="s">
        <v>13</v>
      </c>
    </row>
    <row r="12" spans="1:3" ht="48" customHeight="1">
      <c r="A12" s="5" t="s">
        <v>14</v>
      </c>
      <c r="B12" s="6" t="s">
        <v>15</v>
      </c>
      <c r="C12" s="6" t="s">
        <v>16</v>
      </c>
    </row>
    <row r="13" spans="1:3" ht="48.75" customHeight="1">
      <c r="A13" s="5" t="s">
        <v>17</v>
      </c>
      <c r="B13" s="6" t="s">
        <v>18</v>
      </c>
      <c r="C13" s="6" t="s">
        <v>19</v>
      </c>
    </row>
    <row r="14" spans="2:5" ht="15">
      <c r="B14" s="8"/>
      <c r="C14" s="8"/>
      <c r="D14" s="9"/>
      <c r="E14" s="9"/>
    </row>
    <row r="15" spans="2:5" ht="32.25" customHeight="1">
      <c r="B15" s="882" t="s">
        <v>20</v>
      </c>
      <c r="C15" s="882"/>
      <c r="D15" s="9"/>
      <c r="E15" s="9"/>
    </row>
    <row r="16" spans="2:5" ht="15.75" customHeight="1">
      <c r="B16" s="882" t="s">
        <v>21</v>
      </c>
      <c r="C16" s="882"/>
      <c r="D16" s="9"/>
      <c r="E16" s="9"/>
    </row>
    <row r="17" spans="2:5" ht="93" customHeight="1">
      <c r="B17" s="883" t="s">
        <v>22</v>
      </c>
      <c r="C17" s="883"/>
      <c r="D17" s="9"/>
      <c r="E17" s="9"/>
    </row>
    <row r="18" spans="2:3" ht="36" customHeight="1">
      <c r="B18" s="884" t="s">
        <v>23</v>
      </c>
      <c r="C18" s="884"/>
    </row>
    <row r="19" spans="2:5" ht="66.75" customHeight="1">
      <c r="B19" s="885" t="s">
        <v>24</v>
      </c>
      <c r="C19" s="885"/>
      <c r="E19" s="10"/>
    </row>
    <row r="20" spans="2:5" ht="24.75" customHeight="1">
      <c r="B20" s="885" t="s">
        <v>25</v>
      </c>
      <c r="C20" s="885"/>
      <c r="E20" s="11"/>
    </row>
    <row r="21" spans="2:5" ht="40.5" customHeight="1">
      <c r="B21" s="885" t="s">
        <v>26</v>
      </c>
      <c r="C21" s="885"/>
      <c r="E21" s="12"/>
    </row>
    <row r="22" spans="2:5" ht="30" customHeight="1">
      <c r="B22" s="885" t="s">
        <v>27</v>
      </c>
      <c r="C22" s="885"/>
      <c r="E22" s="886"/>
    </row>
    <row r="23" spans="2:5" ht="16.5" customHeight="1">
      <c r="B23" s="885" t="s">
        <v>28</v>
      </c>
      <c r="C23" s="885"/>
      <c r="E23" s="886"/>
    </row>
    <row r="24" spans="2:5" ht="29.25" customHeight="1">
      <c r="B24" s="885" t="s">
        <v>29</v>
      </c>
      <c r="C24" s="885"/>
      <c r="E24" s="12"/>
    </row>
    <row r="25" spans="2:5" ht="51" customHeight="1">
      <c r="B25" s="885" t="s">
        <v>30</v>
      </c>
      <c r="C25" s="885"/>
      <c r="E25" s="12"/>
    </row>
    <row r="26" spans="2:3" ht="9.75" customHeight="1">
      <c r="B26" s="13"/>
      <c r="C26" s="13"/>
    </row>
    <row r="27" spans="2:3" ht="31.5" customHeight="1">
      <c r="B27" s="887" t="s">
        <v>31</v>
      </c>
      <c r="C27" s="887"/>
    </row>
    <row r="28" spans="2:3" ht="60.75" customHeight="1">
      <c r="B28" s="885" t="s">
        <v>32</v>
      </c>
      <c r="C28" s="885"/>
    </row>
    <row r="29" spans="2:5" ht="8.25" customHeight="1">
      <c r="B29" s="13"/>
      <c r="C29" s="13"/>
      <c r="E29" s="14"/>
    </row>
    <row r="30" spans="2:3" ht="18.75" customHeight="1">
      <c r="B30" s="888" t="s">
        <v>33</v>
      </c>
      <c r="C30" s="888"/>
    </row>
    <row r="31" spans="2:3" ht="99.75" customHeight="1">
      <c r="B31" s="885" t="s">
        <v>34</v>
      </c>
      <c r="C31" s="885"/>
    </row>
    <row r="32" spans="2:3" ht="18.75" customHeight="1">
      <c r="B32" s="888" t="s">
        <v>35</v>
      </c>
      <c r="C32" s="888"/>
    </row>
    <row r="33" spans="2:3" ht="69.75" customHeight="1">
      <c r="B33" s="885" t="s">
        <v>36</v>
      </c>
      <c r="C33" s="885"/>
    </row>
    <row r="34" spans="2:3" ht="6" customHeight="1">
      <c r="B34" s="13"/>
      <c r="C34" s="13"/>
    </row>
    <row r="35" spans="2:3" ht="15.75">
      <c r="B35" s="15" t="s">
        <v>37</v>
      </c>
      <c r="C35" s="13"/>
    </row>
    <row r="36" spans="2:3" ht="15.75">
      <c r="B36" s="16"/>
      <c r="C36" s="13"/>
    </row>
    <row r="37" spans="2:3" ht="15.75">
      <c r="B37" s="16"/>
      <c r="C37" s="13"/>
    </row>
    <row r="38" spans="2:3" ht="15.75">
      <c r="B38" s="17"/>
      <c r="C38" s="13"/>
    </row>
    <row r="39" spans="2:3" ht="15.75">
      <c r="B39" s="17"/>
      <c r="C39" s="13"/>
    </row>
    <row r="40" spans="2:3" ht="15.75">
      <c r="B40" s="17"/>
      <c r="C40" s="13"/>
    </row>
    <row r="41" spans="2:3" ht="16.5" customHeight="1">
      <c r="B41" s="17"/>
      <c r="C41" s="13"/>
    </row>
    <row r="42" spans="2:3" ht="18.75">
      <c r="B42" s="18" t="s">
        <v>38</v>
      </c>
      <c r="C42" s="13"/>
    </row>
    <row r="43" spans="2:3" ht="7.5" customHeight="1">
      <c r="B43" s="17"/>
      <c r="C43" s="13"/>
    </row>
    <row r="44" spans="2:3" ht="80.25" customHeight="1">
      <c r="B44" s="883" t="s">
        <v>39</v>
      </c>
      <c r="C44" s="883"/>
    </row>
    <row r="45" spans="2:3" ht="3.75" customHeight="1">
      <c r="B45" s="17"/>
      <c r="C45" s="13"/>
    </row>
    <row r="46" spans="2:3" ht="12.75" customHeight="1">
      <c r="B46" s="18" t="s">
        <v>40</v>
      </c>
      <c r="C46" s="13"/>
    </row>
    <row r="47" spans="2:3" ht="5.25" customHeight="1">
      <c r="B47" s="17"/>
      <c r="C47" s="13"/>
    </row>
    <row r="48" spans="2:3" ht="72" customHeight="1">
      <c r="B48" s="889" t="s">
        <v>41</v>
      </c>
      <c r="C48" s="889"/>
    </row>
    <row r="49" spans="2:3" ht="53.25" customHeight="1">
      <c r="B49" s="889" t="s">
        <v>42</v>
      </c>
      <c r="C49" s="889"/>
    </row>
    <row r="50" spans="2:3" ht="3.75" customHeight="1">
      <c r="B50" s="17"/>
      <c r="C50" s="13"/>
    </row>
    <row r="51" spans="2:3" ht="18.75">
      <c r="B51" s="18" t="s">
        <v>43</v>
      </c>
      <c r="C51" s="13"/>
    </row>
    <row r="52" spans="2:5" ht="177.75" customHeight="1">
      <c r="B52" s="889" t="s">
        <v>44</v>
      </c>
      <c r="C52" s="889"/>
      <c r="E52" s="19"/>
    </row>
    <row r="53" spans="2:5" ht="36" customHeight="1">
      <c r="B53" s="889" t="s">
        <v>45</v>
      </c>
      <c r="C53" s="889"/>
      <c r="E53" s="19"/>
    </row>
    <row r="54" spans="2:5" ht="3.75" customHeight="1">
      <c r="B54" s="17"/>
      <c r="C54" s="13"/>
      <c r="E54" s="20"/>
    </row>
    <row r="55" spans="2:5" ht="18" customHeight="1">
      <c r="B55" s="21" t="s">
        <v>46</v>
      </c>
      <c r="C55" s="13"/>
      <c r="E55" s="19"/>
    </row>
    <row r="56" spans="2:3" ht="6.75" customHeight="1">
      <c r="B56" s="17"/>
      <c r="C56" s="13"/>
    </row>
    <row r="57" spans="2:3" ht="31.5" customHeight="1">
      <c r="B57" s="883" t="s">
        <v>47</v>
      </c>
      <c r="C57" s="883"/>
    </row>
    <row r="58" spans="2:3" ht="6" customHeight="1">
      <c r="B58" s="17"/>
      <c r="C58" s="13"/>
    </row>
    <row r="59" spans="2:3" ht="18.75" customHeight="1">
      <c r="B59" s="22" t="s">
        <v>48</v>
      </c>
      <c r="C59" s="22"/>
    </row>
    <row r="60" spans="2:3" ht="36" customHeight="1">
      <c r="B60" s="883" t="s">
        <v>49</v>
      </c>
      <c r="C60" s="883"/>
    </row>
    <row r="61" spans="2:3" ht="15.75" customHeight="1">
      <c r="B61" s="882" t="s">
        <v>50</v>
      </c>
      <c r="C61" s="882"/>
    </row>
    <row r="62" spans="2:3" ht="24" customHeight="1">
      <c r="B62" s="883" t="s">
        <v>51</v>
      </c>
      <c r="C62" s="883"/>
    </row>
    <row r="63" spans="2:3" ht="79.5" customHeight="1">
      <c r="B63" s="883" t="s">
        <v>52</v>
      </c>
      <c r="C63" s="883"/>
    </row>
    <row r="64" spans="2:3" ht="69.75" customHeight="1">
      <c r="B64" s="883" t="s">
        <v>53</v>
      </c>
      <c r="C64" s="883"/>
    </row>
    <row r="65" spans="2:5" ht="19.5" customHeight="1">
      <c r="B65" s="883" t="s">
        <v>54</v>
      </c>
      <c r="C65" s="883"/>
      <c r="E65" s="19"/>
    </row>
    <row r="66" spans="2:3" ht="30.75" customHeight="1">
      <c r="B66" s="883" t="s">
        <v>55</v>
      </c>
      <c r="C66" s="883"/>
    </row>
    <row r="67" spans="2:3" ht="19.5" customHeight="1">
      <c r="B67" s="23" t="s">
        <v>56</v>
      </c>
      <c r="C67" s="24"/>
    </row>
    <row r="68" spans="2:3" ht="14.25" customHeight="1">
      <c r="B68" s="883" t="s">
        <v>57</v>
      </c>
      <c r="C68" s="883"/>
    </row>
    <row r="69" spans="2:3" ht="30" customHeight="1">
      <c r="B69" s="883" t="s">
        <v>58</v>
      </c>
      <c r="C69" s="883"/>
    </row>
    <row r="70" ht="15">
      <c r="B70" s="25"/>
    </row>
  </sheetData>
  <sheetProtection selectLockedCells="1" selectUnlockedCells="1"/>
  <mergeCells count="40">
    <mergeCell ref="B66:C66"/>
    <mergeCell ref="B68:C68"/>
    <mergeCell ref="B69:C69"/>
    <mergeCell ref="B60:C60"/>
    <mergeCell ref="B61:C61"/>
    <mergeCell ref="B62:C62"/>
    <mergeCell ref="B63:C63"/>
    <mergeCell ref="B64:C64"/>
    <mergeCell ref="B65:C65"/>
    <mergeCell ref="B44:C44"/>
    <mergeCell ref="B48:C48"/>
    <mergeCell ref="B49:C49"/>
    <mergeCell ref="B52:C52"/>
    <mergeCell ref="B53:C53"/>
    <mergeCell ref="B57:C57"/>
    <mergeCell ref="B27:C27"/>
    <mergeCell ref="B28:C28"/>
    <mergeCell ref="B30:C30"/>
    <mergeCell ref="B31:C31"/>
    <mergeCell ref="B32:C32"/>
    <mergeCell ref="B33:C33"/>
    <mergeCell ref="B21:C21"/>
    <mergeCell ref="B22:C22"/>
    <mergeCell ref="E22:E23"/>
    <mergeCell ref="B23:C23"/>
    <mergeCell ref="B24:C24"/>
    <mergeCell ref="B25:C25"/>
    <mergeCell ref="B15:C15"/>
    <mergeCell ref="B16:C16"/>
    <mergeCell ref="B17:C17"/>
    <mergeCell ref="B18:C18"/>
    <mergeCell ref="B19:C19"/>
    <mergeCell ref="B20:C20"/>
    <mergeCell ref="A2:C2"/>
    <mergeCell ref="B3:C3"/>
    <mergeCell ref="B4:C4"/>
    <mergeCell ref="B5:C5"/>
    <mergeCell ref="B7:C7"/>
    <mergeCell ref="A10:A11"/>
    <mergeCell ref="B10:B11"/>
  </mergeCells>
  <printOptions horizontalCentered="1"/>
  <pageMargins left="0.30972222222222223" right="0.22013888888888888" top="0.6201388888888889" bottom="0.4201388888888889" header="0.5118055555555555" footer="0.5118055555555555"/>
  <pageSetup horizontalDpi="300" verticalDpi="300" orientation="portrait" paperSize="9" scale="75" r:id="rId2"/>
  <rowBreaks count="1" manualBreakCount="1">
    <brk id="31" max="255" man="1"/>
  </rowBreaks>
  <drawing r:id="rId1"/>
</worksheet>
</file>

<file path=xl/worksheets/sheet10.xml><?xml version="1.0" encoding="utf-8"?>
<worksheet xmlns="http://schemas.openxmlformats.org/spreadsheetml/2006/main" xmlns:r="http://schemas.openxmlformats.org/officeDocument/2006/relationships">
  <sheetPr>
    <tabColor indexed="29"/>
  </sheetPr>
  <dimension ref="A1:I51"/>
  <sheetViews>
    <sheetView showGridLines="0" zoomScalePageLayoutView="0" workbookViewId="0" topLeftCell="A4">
      <selection activeCell="L11" sqref="L11"/>
    </sheetView>
  </sheetViews>
  <sheetFormatPr defaultColWidth="9.140625" defaultRowHeight="15"/>
  <cols>
    <col min="1" max="7" width="10.28125" style="0" customWidth="1"/>
    <col min="8" max="8" width="15.7109375" style="0" customWidth="1"/>
    <col min="9" max="9" width="9.28125" style="0" customWidth="1"/>
    <col min="10" max="10" width="8.7109375" style="0" customWidth="1"/>
  </cols>
  <sheetData>
    <row r="1" spans="1:9" ht="18" customHeight="1">
      <c r="A1" s="806"/>
      <c r="B1" s="806"/>
      <c r="C1" s="806"/>
      <c r="D1" s="806"/>
      <c r="E1" s="806"/>
      <c r="F1" s="806"/>
      <c r="G1" s="806"/>
      <c r="H1" s="806"/>
      <c r="I1" s="806"/>
    </row>
    <row r="2" spans="1:9" ht="18" customHeight="1">
      <c r="A2" s="1093" t="s">
        <v>727</v>
      </c>
      <c r="B2" s="1093"/>
      <c r="C2" s="1093"/>
      <c r="D2" s="1093"/>
      <c r="E2" s="1093"/>
      <c r="F2" s="1093"/>
      <c r="G2" s="1093"/>
      <c r="H2" s="1093"/>
      <c r="I2" s="807"/>
    </row>
    <row r="3" spans="1:9" ht="18" customHeight="1">
      <c r="A3" s="1094" t="s">
        <v>728</v>
      </c>
      <c r="B3" s="1094"/>
      <c r="C3" s="1094"/>
      <c r="D3" s="1094"/>
      <c r="E3" s="1094"/>
      <c r="F3" s="1094"/>
      <c r="G3" s="1094"/>
      <c r="H3" s="1094"/>
      <c r="I3" s="808"/>
    </row>
    <row r="4" spans="1:9" ht="18" customHeight="1">
      <c r="A4" s="1095" t="s">
        <v>729</v>
      </c>
      <c r="B4" s="1095"/>
      <c r="C4" s="1095"/>
      <c r="D4" s="1095"/>
      <c r="E4" s="1095"/>
      <c r="F4" s="1095"/>
      <c r="G4" s="1095"/>
      <c r="H4" s="1095"/>
      <c r="I4" s="809"/>
    </row>
    <row r="5" spans="1:9" ht="18" customHeight="1">
      <c r="A5" s="1095" t="s">
        <v>730</v>
      </c>
      <c r="B5" s="1095"/>
      <c r="C5" s="1095"/>
      <c r="D5" s="1095"/>
      <c r="E5" s="1095"/>
      <c r="F5" s="1095"/>
      <c r="G5" s="1095"/>
      <c r="H5" s="1095"/>
      <c r="I5" s="809"/>
    </row>
    <row r="6" spans="1:9" ht="18" customHeight="1">
      <c r="A6" s="1096"/>
      <c r="B6" s="1096"/>
      <c r="C6" s="1096"/>
      <c r="D6" s="1096"/>
      <c r="E6" s="1096"/>
      <c r="F6" s="1096"/>
      <c r="G6" s="1096"/>
      <c r="H6" s="1096"/>
      <c r="I6" s="1096"/>
    </row>
    <row r="7" spans="1:9" ht="18" customHeight="1">
      <c r="A7" s="810"/>
      <c r="B7" s="810"/>
      <c r="C7" s="810"/>
      <c r="D7" s="810"/>
      <c r="E7" s="810"/>
      <c r="F7" s="810"/>
      <c r="G7" s="810" t="s">
        <v>731</v>
      </c>
      <c r="H7" s="810"/>
      <c r="I7" s="810"/>
    </row>
    <row r="8" spans="1:9" ht="18" customHeight="1">
      <c r="A8" s="806"/>
      <c r="B8" s="810"/>
      <c r="C8" s="810"/>
      <c r="D8" s="810"/>
      <c r="E8" s="810"/>
      <c r="F8" s="810"/>
      <c r="G8" s="810" t="s">
        <v>732</v>
      </c>
      <c r="H8" s="810"/>
      <c r="I8" s="810"/>
    </row>
    <row r="9" spans="1:9" ht="18" customHeight="1">
      <c r="A9" s="806"/>
      <c r="B9" s="810"/>
      <c r="C9" s="810"/>
      <c r="D9" s="810"/>
      <c r="E9" s="810"/>
      <c r="F9" s="810"/>
      <c r="G9" s="810"/>
      <c r="H9" s="810"/>
      <c r="I9" s="810"/>
    </row>
    <row r="10" spans="1:9" ht="18" customHeight="1">
      <c r="A10" s="1091" t="s">
        <v>733</v>
      </c>
      <c r="B10" s="1091"/>
      <c r="C10" s="1091"/>
      <c r="D10" s="1091"/>
      <c r="E10" s="1091"/>
      <c r="F10" s="1091"/>
      <c r="G10" s="1091"/>
      <c r="H10" s="1091"/>
      <c r="I10" s="1091"/>
    </row>
    <row r="11" spans="1:9" ht="18" customHeight="1">
      <c r="A11" s="1091" t="s">
        <v>734</v>
      </c>
      <c r="B11" s="1091"/>
      <c r="C11" s="1091"/>
      <c r="D11" s="1091"/>
      <c r="E11" s="1091"/>
      <c r="F11" s="1091"/>
      <c r="G11" s="1091"/>
      <c r="H11" s="1091"/>
      <c r="I11" s="1091"/>
    </row>
    <row r="12" spans="1:9" ht="18" customHeight="1">
      <c r="A12" s="1091" t="s">
        <v>735</v>
      </c>
      <c r="B12" s="1091"/>
      <c r="C12" s="1091"/>
      <c r="D12" s="1091"/>
      <c r="E12" s="1091"/>
      <c r="F12" s="1091"/>
      <c r="G12" s="1091"/>
      <c r="H12" s="1091"/>
      <c r="I12" s="1091"/>
    </row>
    <row r="13" spans="1:9" ht="18" customHeight="1">
      <c r="A13" s="1091" t="s">
        <v>736</v>
      </c>
      <c r="B13" s="1091"/>
      <c r="C13" s="1091"/>
      <c r="D13" s="1091"/>
      <c r="E13" s="1091"/>
      <c r="F13" s="1091"/>
      <c r="G13" s="1091"/>
      <c r="H13" s="1091"/>
      <c r="I13" s="1091"/>
    </row>
    <row r="14" spans="1:9" ht="18" customHeight="1">
      <c r="A14" s="806"/>
      <c r="B14" s="806"/>
      <c r="C14" s="806"/>
      <c r="D14" s="806"/>
      <c r="E14" s="806"/>
      <c r="F14" s="806"/>
      <c r="G14" s="806"/>
      <c r="H14" s="806"/>
      <c r="I14" s="806"/>
    </row>
    <row r="15" spans="1:9" ht="18" customHeight="1">
      <c r="A15" s="1091" t="s">
        <v>737</v>
      </c>
      <c r="B15" s="1091"/>
      <c r="C15" s="1091"/>
      <c r="D15" s="1091"/>
      <c r="E15" s="1091"/>
      <c r="F15" s="1091"/>
      <c r="G15" s="1091"/>
      <c r="H15" s="1091"/>
      <c r="I15" s="1091"/>
    </row>
    <row r="16" spans="1:9" ht="18" customHeight="1">
      <c r="A16" s="811"/>
      <c r="B16" s="811"/>
      <c r="C16" s="811"/>
      <c r="D16" s="811"/>
      <c r="E16" s="811"/>
      <c r="F16" s="811"/>
      <c r="G16" s="811"/>
      <c r="H16" s="811"/>
      <c r="I16" s="811"/>
    </row>
    <row r="17" spans="1:9" ht="18" customHeight="1">
      <c r="A17" s="1092" t="s">
        <v>738</v>
      </c>
      <c r="B17" s="1092"/>
      <c r="C17" s="1092"/>
      <c r="D17" s="1092"/>
      <c r="E17" s="1092"/>
      <c r="F17" s="1092"/>
      <c r="G17" s="1092"/>
      <c r="H17" s="1092"/>
      <c r="I17" s="1092"/>
    </row>
    <row r="18" spans="1:9" ht="18" customHeight="1">
      <c r="A18" s="806"/>
      <c r="B18" s="806"/>
      <c r="C18" s="806"/>
      <c r="D18" s="806"/>
      <c r="E18" s="806"/>
      <c r="F18" s="806"/>
      <c r="G18" s="806"/>
      <c r="H18" s="806"/>
      <c r="I18" s="806"/>
    </row>
    <row r="19" spans="1:9" ht="18" customHeight="1">
      <c r="A19" s="812" t="s">
        <v>739</v>
      </c>
      <c r="B19" s="806"/>
      <c r="C19" s="806"/>
      <c r="D19" s="806"/>
      <c r="E19" s="806"/>
      <c r="F19" s="806"/>
      <c r="G19" s="806"/>
      <c r="H19" s="806"/>
      <c r="I19" s="806"/>
    </row>
    <row r="20" spans="1:9" ht="18" customHeight="1">
      <c r="A20" s="806" t="s">
        <v>740</v>
      </c>
      <c r="B20" s="806"/>
      <c r="C20" s="806"/>
      <c r="D20" s="806"/>
      <c r="E20" s="806"/>
      <c r="F20" s="806"/>
      <c r="G20" s="806"/>
      <c r="H20" s="806"/>
      <c r="I20" s="806"/>
    </row>
    <row r="21" spans="1:9" ht="18" customHeight="1">
      <c r="A21" s="806" t="s">
        <v>741</v>
      </c>
      <c r="B21" s="806"/>
      <c r="C21" s="806"/>
      <c r="D21" s="806"/>
      <c r="E21" s="806"/>
      <c r="F21" s="806"/>
      <c r="G21" s="806"/>
      <c r="H21" s="806"/>
      <c r="I21" s="806"/>
    </row>
    <row r="22" spans="1:9" ht="18" customHeight="1">
      <c r="A22" s="806" t="s">
        <v>742</v>
      </c>
      <c r="B22" s="806"/>
      <c r="C22" s="806"/>
      <c r="D22" s="806"/>
      <c r="E22" s="806"/>
      <c r="F22" s="806"/>
      <c r="G22" s="806"/>
      <c r="H22" s="806"/>
      <c r="I22" s="806"/>
    </row>
    <row r="23" spans="1:9" ht="18" customHeight="1">
      <c r="A23" s="806" t="s">
        <v>743</v>
      </c>
      <c r="B23" s="806"/>
      <c r="C23" s="806"/>
      <c r="D23" s="806"/>
      <c r="E23" s="806"/>
      <c r="F23" s="806"/>
      <c r="G23" s="806"/>
      <c r="H23" s="806"/>
      <c r="I23" s="806"/>
    </row>
    <row r="24" spans="1:9" ht="18" customHeight="1">
      <c r="A24" s="806" t="s">
        <v>744</v>
      </c>
      <c r="B24" s="806"/>
      <c r="C24" s="806"/>
      <c r="D24" s="806"/>
      <c r="E24" s="806"/>
      <c r="F24" s="806"/>
      <c r="G24" s="806"/>
      <c r="H24" s="806"/>
      <c r="I24" s="806"/>
    </row>
    <row r="25" spans="1:9" ht="18" customHeight="1">
      <c r="A25" s="806" t="s">
        <v>744</v>
      </c>
      <c r="B25" s="806"/>
      <c r="C25" s="806"/>
      <c r="D25" s="806"/>
      <c r="E25" s="806"/>
      <c r="F25" s="806"/>
      <c r="G25" s="806"/>
      <c r="H25" s="806"/>
      <c r="I25" s="806"/>
    </row>
    <row r="26" spans="1:9" ht="18" customHeight="1">
      <c r="A26" s="806"/>
      <c r="B26" s="806"/>
      <c r="C26" s="806"/>
      <c r="D26" s="806"/>
      <c r="E26" s="806"/>
      <c r="F26" s="806"/>
      <c r="G26" s="806"/>
      <c r="H26" s="806"/>
      <c r="I26" s="806"/>
    </row>
    <row r="27" spans="1:9" ht="18" customHeight="1">
      <c r="A27" s="806" t="s">
        <v>745</v>
      </c>
      <c r="B27" s="806"/>
      <c r="C27" s="806"/>
      <c r="D27" s="806"/>
      <c r="E27" s="806"/>
      <c r="F27" s="806"/>
      <c r="G27" s="806"/>
      <c r="H27" s="806"/>
      <c r="I27" s="806"/>
    </row>
    <row r="28" spans="1:9" ht="18" customHeight="1">
      <c r="A28" s="806" t="s">
        <v>746</v>
      </c>
      <c r="B28" s="806"/>
      <c r="C28" s="806"/>
      <c r="D28" s="806"/>
      <c r="E28" s="806"/>
      <c r="F28" s="806"/>
      <c r="G28" s="806"/>
      <c r="H28" s="806"/>
      <c r="I28" s="806"/>
    </row>
    <row r="29" spans="1:9" ht="18" customHeight="1">
      <c r="A29" s="806" t="s">
        <v>747</v>
      </c>
      <c r="B29" s="806"/>
      <c r="C29" s="806"/>
      <c r="D29" s="806"/>
      <c r="E29" s="806"/>
      <c r="F29" s="806"/>
      <c r="G29" s="806"/>
      <c r="H29" s="806"/>
      <c r="I29" s="806"/>
    </row>
    <row r="30" spans="1:9" ht="18" customHeight="1">
      <c r="A30" s="806" t="s">
        <v>748</v>
      </c>
      <c r="B30" s="806"/>
      <c r="C30" s="806"/>
      <c r="D30" s="806"/>
      <c r="E30" s="806"/>
      <c r="F30" s="806"/>
      <c r="G30" s="806"/>
      <c r="H30" s="806"/>
      <c r="I30" s="806"/>
    </row>
    <row r="31" spans="1:9" ht="18" customHeight="1">
      <c r="A31" s="806"/>
      <c r="B31" s="806"/>
      <c r="C31" s="806"/>
      <c r="D31" s="806"/>
      <c r="E31" s="806"/>
      <c r="F31" s="806"/>
      <c r="G31" s="806"/>
      <c r="H31" s="806"/>
      <c r="I31" s="806"/>
    </row>
    <row r="32" spans="1:9" ht="18" customHeight="1">
      <c r="A32" s="806"/>
      <c r="B32" s="806"/>
      <c r="C32" s="806"/>
      <c r="D32" s="806"/>
      <c r="E32" s="806"/>
      <c r="F32" s="806"/>
      <c r="G32" s="806"/>
      <c r="H32" s="806"/>
      <c r="I32" s="806"/>
    </row>
    <row r="33" spans="1:9" ht="18" customHeight="1">
      <c r="A33" s="806"/>
      <c r="B33" s="806"/>
      <c r="C33" s="806"/>
      <c r="D33" s="806"/>
      <c r="E33" s="806"/>
      <c r="F33" s="806"/>
      <c r="G33" s="806"/>
      <c r="H33" s="806"/>
      <c r="I33" s="806"/>
    </row>
    <row r="34" spans="1:9" ht="18" customHeight="1">
      <c r="A34" s="806"/>
      <c r="B34" s="806"/>
      <c r="C34" s="806"/>
      <c r="D34" s="806"/>
      <c r="E34" s="806"/>
      <c r="F34" s="806"/>
      <c r="G34" s="806"/>
      <c r="H34" s="806"/>
      <c r="I34" s="806"/>
    </row>
    <row r="35" spans="1:9" ht="18" customHeight="1">
      <c r="A35" s="806"/>
      <c r="B35" s="806"/>
      <c r="C35" s="806"/>
      <c r="D35" s="806"/>
      <c r="E35" s="806"/>
      <c r="F35" s="806"/>
      <c r="G35" s="806"/>
      <c r="H35" s="806"/>
      <c r="I35" s="806"/>
    </row>
    <row r="36" spans="1:9" ht="18" customHeight="1">
      <c r="A36" s="806"/>
      <c r="B36" s="806"/>
      <c r="C36" s="806"/>
      <c r="D36" s="806"/>
      <c r="E36" s="806"/>
      <c r="F36" s="806"/>
      <c r="G36" s="806"/>
      <c r="H36" s="806"/>
      <c r="I36" s="806"/>
    </row>
    <row r="37" spans="1:9" ht="15">
      <c r="A37" s="806"/>
      <c r="B37" s="806"/>
      <c r="C37" s="806"/>
      <c r="D37" s="806"/>
      <c r="E37" s="806"/>
      <c r="F37" s="806"/>
      <c r="G37" s="806"/>
      <c r="H37" s="806"/>
      <c r="I37" s="806"/>
    </row>
    <row r="38" spans="1:9" ht="15">
      <c r="A38" s="806"/>
      <c r="B38" s="806"/>
      <c r="C38" s="806"/>
      <c r="D38" s="806"/>
      <c r="E38" s="806"/>
      <c r="F38" s="806"/>
      <c r="G38" s="806"/>
      <c r="H38" s="806"/>
      <c r="I38" s="806"/>
    </row>
    <row r="39" spans="1:9" ht="15">
      <c r="A39" s="806"/>
      <c r="B39" s="806"/>
      <c r="C39" s="806"/>
      <c r="D39" s="806"/>
      <c r="E39" s="806"/>
      <c r="F39" s="806"/>
      <c r="G39" s="806"/>
      <c r="H39" s="806"/>
      <c r="I39" s="806"/>
    </row>
    <row r="40" spans="1:9" ht="15">
      <c r="A40" s="806"/>
      <c r="B40" s="806"/>
      <c r="C40" s="806"/>
      <c r="D40" s="806"/>
      <c r="E40" s="806"/>
      <c r="F40" s="806"/>
      <c r="G40" s="806"/>
      <c r="H40" s="806"/>
      <c r="I40" s="806"/>
    </row>
    <row r="41" spans="1:9" ht="15">
      <c r="A41" s="806"/>
      <c r="B41" s="806"/>
      <c r="C41" s="806"/>
      <c r="D41" s="806"/>
      <c r="E41" s="806"/>
      <c r="F41" s="806"/>
      <c r="G41" s="806"/>
      <c r="H41" s="806"/>
      <c r="I41" s="806"/>
    </row>
    <row r="42" spans="1:9" ht="15">
      <c r="A42" s="806"/>
      <c r="B42" s="806"/>
      <c r="C42" s="806"/>
      <c r="D42" s="806"/>
      <c r="E42" s="806"/>
      <c r="F42" s="806"/>
      <c r="G42" s="806"/>
      <c r="H42" s="806"/>
      <c r="I42" s="806"/>
    </row>
    <row r="43" spans="1:9" ht="15">
      <c r="A43" s="806"/>
      <c r="B43" s="806"/>
      <c r="C43" s="806"/>
      <c r="D43" s="806"/>
      <c r="E43" s="806"/>
      <c r="F43" s="806"/>
      <c r="G43" s="806"/>
      <c r="H43" s="806"/>
      <c r="I43" s="806"/>
    </row>
    <row r="44" spans="1:9" ht="15">
      <c r="A44" s="806"/>
      <c r="B44" s="806"/>
      <c r="C44" s="806"/>
      <c r="D44" s="806"/>
      <c r="E44" s="806"/>
      <c r="F44" s="806"/>
      <c r="G44" s="806"/>
      <c r="H44" s="806"/>
      <c r="I44" s="806"/>
    </row>
    <row r="45" spans="1:9" ht="15">
      <c r="A45" s="806"/>
      <c r="B45" s="806"/>
      <c r="C45" s="806"/>
      <c r="D45" s="806"/>
      <c r="E45" s="806"/>
      <c r="F45" s="806"/>
      <c r="G45" s="806"/>
      <c r="H45" s="806"/>
      <c r="I45" s="806"/>
    </row>
    <row r="46" spans="1:9" ht="15">
      <c r="A46" s="806"/>
      <c r="B46" s="806"/>
      <c r="C46" s="806"/>
      <c r="D46" s="806"/>
      <c r="E46" s="806"/>
      <c r="F46" s="806"/>
      <c r="G46" s="806"/>
      <c r="H46" s="806"/>
      <c r="I46" s="806"/>
    </row>
    <row r="47" spans="1:9" ht="15">
      <c r="A47" s="806"/>
      <c r="B47" s="806"/>
      <c r="C47" s="806"/>
      <c r="D47" s="806"/>
      <c r="E47" s="806"/>
      <c r="F47" s="806"/>
      <c r="G47" s="806"/>
      <c r="H47" s="806"/>
      <c r="I47" s="806"/>
    </row>
    <row r="48" spans="1:9" ht="15">
      <c r="A48" s="806"/>
      <c r="B48" s="806"/>
      <c r="C48" s="806"/>
      <c r="D48" s="806"/>
      <c r="E48" s="806"/>
      <c r="F48" s="806"/>
      <c r="G48" s="806"/>
      <c r="H48" s="806"/>
      <c r="I48" s="806"/>
    </row>
    <row r="49" spans="1:9" ht="15">
      <c r="A49" s="806"/>
      <c r="B49" s="806"/>
      <c r="C49" s="806"/>
      <c r="D49" s="806"/>
      <c r="E49" s="806"/>
      <c r="F49" s="806"/>
      <c r="G49" s="806"/>
      <c r="H49" s="806"/>
      <c r="I49" s="806"/>
    </row>
    <row r="50" spans="1:9" ht="15">
      <c r="A50" s="806"/>
      <c r="B50" s="806"/>
      <c r="C50" s="806"/>
      <c r="D50" s="806"/>
      <c r="E50" s="806"/>
      <c r="F50" s="806"/>
      <c r="G50" s="806"/>
      <c r="H50" s="806"/>
      <c r="I50" s="806"/>
    </row>
    <row r="51" spans="1:9" ht="15">
      <c r="A51" s="806"/>
      <c r="B51" s="806"/>
      <c r="C51" s="806"/>
      <c r="D51" s="806"/>
      <c r="E51" s="806"/>
      <c r="F51" s="806"/>
      <c r="G51" s="806"/>
      <c r="H51" s="806"/>
      <c r="I51" s="806"/>
    </row>
  </sheetData>
  <sheetProtection selectLockedCells="1" selectUnlockedCells="1"/>
  <mergeCells count="11">
    <mergeCell ref="A2:H2"/>
    <mergeCell ref="A3:H3"/>
    <mergeCell ref="A4:H4"/>
    <mergeCell ref="A5:H5"/>
    <mergeCell ref="A6:I6"/>
    <mergeCell ref="A10:I10"/>
    <mergeCell ref="A11:I11"/>
    <mergeCell ref="A12:I12"/>
    <mergeCell ref="A13:I13"/>
    <mergeCell ref="A15:I15"/>
    <mergeCell ref="A17:I17"/>
  </mergeCells>
  <printOptions horizontalCentered="1"/>
  <pageMargins left="0.7" right="0.7" top="0.75" bottom="0.75" header="0.5118055555555555" footer="0.5118055555555555"/>
  <pageSetup horizontalDpi="300" verticalDpi="300" orientation="portrait" paperSize="5" scale="94"/>
  <drawing r:id="rId1"/>
</worksheet>
</file>

<file path=xl/worksheets/sheet11.xml><?xml version="1.0" encoding="utf-8"?>
<worksheet xmlns="http://schemas.openxmlformats.org/spreadsheetml/2006/main" xmlns:r="http://schemas.openxmlformats.org/officeDocument/2006/relationships">
  <sheetPr>
    <tabColor indexed="29"/>
  </sheetPr>
  <dimension ref="A1:K90"/>
  <sheetViews>
    <sheetView showGridLines="0" zoomScalePageLayoutView="0" workbookViewId="0" topLeftCell="A1">
      <selection activeCell="O22" sqref="O22"/>
    </sheetView>
  </sheetViews>
  <sheetFormatPr defaultColWidth="9.140625" defaultRowHeight="15"/>
  <sheetData>
    <row r="1" spans="1:10" ht="15">
      <c r="A1" s="806"/>
      <c r="B1" s="806"/>
      <c r="C1" s="806"/>
      <c r="D1" s="806"/>
      <c r="E1" s="806"/>
      <c r="F1" s="806"/>
      <c r="G1" s="806"/>
      <c r="H1" s="806"/>
      <c r="I1" s="806"/>
      <c r="J1" s="806"/>
    </row>
    <row r="2" spans="1:10" ht="15.75">
      <c r="A2" s="1097" t="s">
        <v>749</v>
      </c>
      <c r="B2" s="1097"/>
      <c r="C2" s="1097"/>
      <c r="D2" s="1097"/>
      <c r="E2" s="1097"/>
      <c r="F2" s="1097"/>
      <c r="G2" s="1097"/>
      <c r="H2" s="1097"/>
      <c r="I2" s="1097"/>
      <c r="J2" s="1097"/>
    </row>
    <row r="3" spans="1:10" ht="15.75">
      <c r="A3" s="1097" t="s">
        <v>750</v>
      </c>
      <c r="B3" s="1097"/>
      <c r="C3" s="1097"/>
      <c r="D3" s="1097"/>
      <c r="E3" s="1097"/>
      <c r="F3" s="1097"/>
      <c r="G3" s="1097"/>
      <c r="H3" s="1097"/>
      <c r="I3" s="1097"/>
      <c r="J3" s="1097"/>
    </row>
    <row r="4" spans="1:10" ht="15.75">
      <c r="A4" s="1097" t="s">
        <v>751</v>
      </c>
      <c r="B4" s="1097"/>
      <c r="C4" s="1097"/>
      <c r="D4" s="1097"/>
      <c r="E4" s="1097"/>
      <c r="F4" s="1097"/>
      <c r="G4" s="1097"/>
      <c r="H4" s="1097"/>
      <c r="I4" s="1097"/>
      <c r="J4" s="1097"/>
    </row>
    <row r="5" spans="1:10" ht="15.75">
      <c r="A5" s="813"/>
      <c r="B5" s="813"/>
      <c r="C5" s="813"/>
      <c r="D5" s="813"/>
      <c r="E5" s="813"/>
      <c r="F5" s="813"/>
      <c r="G5" s="813"/>
      <c r="H5" s="813"/>
      <c r="I5" s="813"/>
      <c r="J5" s="813"/>
    </row>
    <row r="6" spans="1:10" ht="15">
      <c r="A6" s="806" t="s">
        <v>752</v>
      </c>
      <c r="B6" s="806"/>
      <c r="C6" s="806"/>
      <c r="D6" s="806"/>
      <c r="E6" s="806"/>
      <c r="F6" s="806"/>
      <c r="G6" s="806"/>
      <c r="H6" s="806"/>
      <c r="I6" s="806"/>
      <c r="J6" s="806"/>
    </row>
    <row r="7" spans="1:10" ht="7.5" customHeight="1">
      <c r="A7" s="806"/>
      <c r="B7" s="806"/>
      <c r="C7" s="806"/>
      <c r="D7" s="806"/>
      <c r="E7" s="806"/>
      <c r="F7" s="806"/>
      <c r="G7" s="806"/>
      <c r="H7" s="806"/>
      <c r="I7" s="806"/>
      <c r="J7" s="806"/>
    </row>
    <row r="8" spans="1:10" ht="15">
      <c r="A8" s="806" t="s">
        <v>753</v>
      </c>
      <c r="B8" s="806"/>
      <c r="C8" s="806"/>
      <c r="D8" s="806"/>
      <c r="E8" s="806"/>
      <c r="F8" s="806"/>
      <c r="G8" s="806"/>
      <c r="H8" s="806"/>
      <c r="I8" s="806"/>
      <c r="J8" s="806"/>
    </row>
    <row r="9" spans="1:10" ht="7.5" customHeight="1">
      <c r="A9" s="806"/>
      <c r="B9" s="806"/>
      <c r="C9" s="806"/>
      <c r="D9" s="806"/>
      <c r="E9" s="806"/>
      <c r="F9" s="806"/>
      <c r="G9" s="806"/>
      <c r="H9" s="806"/>
      <c r="I9" s="806"/>
      <c r="J9" s="806"/>
    </row>
    <row r="10" spans="1:10" ht="15">
      <c r="A10" s="806" t="s">
        <v>754</v>
      </c>
      <c r="B10" s="806"/>
      <c r="C10" s="806"/>
      <c r="D10" s="806"/>
      <c r="E10" s="806"/>
      <c r="F10" s="806"/>
      <c r="G10" s="806"/>
      <c r="H10" s="806"/>
      <c r="I10" s="806"/>
      <c r="J10" s="806"/>
    </row>
    <row r="11" spans="1:10" ht="7.5" customHeight="1">
      <c r="A11" s="806"/>
      <c r="B11" s="806"/>
      <c r="C11" s="806"/>
      <c r="D11" s="806"/>
      <c r="E11" s="806"/>
      <c r="F11" s="806"/>
      <c r="G11" s="806"/>
      <c r="H11" s="806"/>
      <c r="I11" s="806"/>
      <c r="J11" s="806"/>
    </row>
    <row r="12" spans="1:10" ht="15">
      <c r="A12" s="806" t="s">
        <v>755</v>
      </c>
      <c r="B12" s="806"/>
      <c r="C12" s="806"/>
      <c r="D12" s="806"/>
      <c r="E12" s="806"/>
      <c r="F12" s="806"/>
      <c r="G12" s="806"/>
      <c r="H12" s="806"/>
      <c r="I12" s="806"/>
      <c r="J12" s="806"/>
    </row>
    <row r="13" spans="1:10" ht="15">
      <c r="A13" s="806" t="s">
        <v>756</v>
      </c>
      <c r="B13" s="806"/>
      <c r="C13" s="806"/>
      <c r="D13" s="806"/>
      <c r="E13" s="806"/>
      <c r="F13" s="806"/>
      <c r="G13" s="806"/>
      <c r="H13" s="806"/>
      <c r="I13" s="806"/>
      <c r="J13" s="806"/>
    </row>
    <row r="14" spans="1:10" ht="8.25" customHeight="1">
      <c r="A14" s="806"/>
      <c r="B14" s="806"/>
      <c r="C14" s="806"/>
      <c r="D14" s="806"/>
      <c r="E14" s="806"/>
      <c r="F14" s="806"/>
      <c r="G14" s="806"/>
      <c r="H14" s="806"/>
      <c r="I14" s="806"/>
      <c r="J14" s="806"/>
    </row>
    <row r="15" spans="1:10" ht="15">
      <c r="A15" s="806" t="s">
        <v>757</v>
      </c>
      <c r="B15" s="806"/>
      <c r="C15" s="806"/>
      <c r="D15" s="806"/>
      <c r="E15" s="806"/>
      <c r="F15" s="806"/>
      <c r="G15" s="806"/>
      <c r="H15" s="806"/>
      <c r="I15" s="806"/>
      <c r="J15" s="806"/>
    </row>
    <row r="16" spans="1:10" ht="15" customHeight="1">
      <c r="A16" s="1091" t="s">
        <v>758</v>
      </c>
      <c r="B16" s="1091"/>
      <c r="C16" s="1091"/>
      <c r="D16" s="1091"/>
      <c r="E16" s="1091"/>
      <c r="F16" s="1091"/>
      <c r="G16" s="1091"/>
      <c r="H16" s="1091"/>
      <c r="I16" s="1091"/>
      <c r="J16" s="1091"/>
    </row>
    <row r="17" spans="1:10" ht="15">
      <c r="A17" s="806" t="s">
        <v>759</v>
      </c>
      <c r="B17" s="806"/>
      <c r="C17" s="806"/>
      <c r="D17" s="806"/>
      <c r="E17" s="806"/>
      <c r="F17" s="806"/>
      <c r="G17" s="806"/>
      <c r="H17" s="806"/>
      <c r="I17" s="806"/>
      <c r="J17" s="806"/>
    </row>
    <row r="18" spans="1:10" ht="15">
      <c r="A18" s="1091" t="s">
        <v>760</v>
      </c>
      <c r="B18" s="1091"/>
      <c r="C18" s="1091"/>
      <c r="D18" s="1091"/>
      <c r="E18" s="1091"/>
      <c r="F18" s="1091"/>
      <c r="G18" s="1091"/>
      <c r="H18" s="1091"/>
      <c r="I18" s="1091"/>
      <c r="J18" s="1091"/>
    </row>
    <row r="19" spans="1:10" ht="7.5" customHeight="1">
      <c r="A19" s="806"/>
      <c r="B19" s="806"/>
      <c r="C19" s="806"/>
      <c r="D19" s="806"/>
      <c r="E19" s="806"/>
      <c r="F19" s="806"/>
      <c r="G19" s="806"/>
      <c r="H19" s="806"/>
      <c r="I19" s="806"/>
      <c r="J19" s="806"/>
    </row>
    <row r="20" spans="1:10" ht="15">
      <c r="A20" s="806" t="s">
        <v>761</v>
      </c>
      <c r="B20" s="806"/>
      <c r="C20" s="806"/>
      <c r="D20" s="806"/>
      <c r="E20" s="806"/>
      <c r="F20" s="806"/>
      <c r="G20" s="806"/>
      <c r="H20" s="806"/>
      <c r="I20" s="806"/>
      <c r="J20" s="806"/>
    </row>
    <row r="21" spans="1:10" ht="15">
      <c r="A21" s="806" t="s">
        <v>762</v>
      </c>
      <c r="B21" s="806"/>
      <c r="C21" s="806"/>
      <c r="D21" s="806"/>
      <c r="E21" s="806"/>
      <c r="F21" s="806"/>
      <c r="G21" s="806"/>
      <c r="H21" s="806"/>
      <c r="I21" s="806"/>
      <c r="J21" s="806"/>
    </row>
    <row r="22" spans="1:10" ht="15">
      <c r="A22" s="1091" t="s">
        <v>763</v>
      </c>
      <c r="B22" s="1091"/>
      <c r="C22" s="1091"/>
      <c r="D22" s="1091"/>
      <c r="E22" s="1091"/>
      <c r="F22" s="1091"/>
      <c r="G22" s="1091"/>
      <c r="H22" s="1091"/>
      <c r="I22" s="1091"/>
      <c r="J22" s="1091"/>
    </row>
    <row r="23" spans="1:10" ht="15">
      <c r="A23" s="812"/>
      <c r="B23" s="812"/>
      <c r="C23" s="812"/>
      <c r="D23" s="812"/>
      <c r="E23" s="812"/>
      <c r="F23" s="812"/>
      <c r="G23" s="812"/>
      <c r="H23" s="812"/>
      <c r="I23" s="812"/>
      <c r="J23" s="812"/>
    </row>
    <row r="24" spans="1:10" ht="15">
      <c r="A24" s="812"/>
      <c r="B24" s="812"/>
      <c r="C24" s="812"/>
      <c r="D24" s="1098" t="s">
        <v>764</v>
      </c>
      <c r="E24" s="1098"/>
      <c r="F24" s="1098"/>
      <c r="G24" s="1098"/>
      <c r="H24" s="812"/>
      <c r="I24" s="812"/>
      <c r="J24" s="812"/>
    </row>
    <row r="25" spans="1:10" ht="15">
      <c r="A25" s="806"/>
      <c r="B25" s="806"/>
      <c r="C25" s="806"/>
      <c r="D25" s="806"/>
      <c r="E25" s="806"/>
      <c r="F25" s="806"/>
      <c r="G25" s="806"/>
      <c r="H25" s="806"/>
      <c r="I25" s="806"/>
      <c r="J25" s="806"/>
    </row>
    <row r="26" spans="1:10" ht="15">
      <c r="A26" s="1099" t="s">
        <v>765</v>
      </c>
      <c r="B26" s="1099"/>
      <c r="C26" s="1099"/>
      <c r="D26" s="1099"/>
      <c r="E26" s="1099"/>
      <c r="F26" s="1099"/>
      <c r="G26" s="1099"/>
      <c r="H26" s="1099"/>
      <c r="I26" s="1099"/>
      <c r="J26" s="1099"/>
    </row>
    <row r="27" spans="1:10" ht="8.25" customHeight="1">
      <c r="A27" s="806"/>
      <c r="B27" s="806"/>
      <c r="C27" s="806"/>
      <c r="D27" s="806"/>
      <c r="E27" s="806"/>
      <c r="F27" s="806"/>
      <c r="G27" s="806"/>
      <c r="H27" s="806"/>
      <c r="I27" s="806"/>
      <c r="J27" s="806"/>
    </row>
    <row r="28" spans="1:11" ht="15">
      <c r="A28" s="810" t="s">
        <v>766</v>
      </c>
      <c r="B28" s="810"/>
      <c r="C28" s="810"/>
      <c r="D28" s="810"/>
      <c r="E28" s="810"/>
      <c r="F28" s="810"/>
      <c r="G28" s="810"/>
      <c r="H28" s="810"/>
      <c r="I28" s="810"/>
      <c r="J28" s="810"/>
      <c r="K28" s="810"/>
    </row>
    <row r="29" spans="1:10" ht="8.25" customHeight="1">
      <c r="A29" s="806"/>
      <c r="B29" s="806"/>
      <c r="C29" s="806"/>
      <c r="D29" s="806"/>
      <c r="E29" s="806"/>
      <c r="F29" s="806"/>
      <c r="G29" s="806"/>
      <c r="H29" s="806"/>
      <c r="I29" s="806"/>
      <c r="J29" s="806"/>
    </row>
    <row r="30" spans="1:10" ht="15">
      <c r="A30" s="1096" t="s">
        <v>767</v>
      </c>
      <c r="B30" s="1096"/>
      <c r="C30" s="1096"/>
      <c r="D30" s="1096"/>
      <c r="E30" s="1096"/>
      <c r="F30" s="1096"/>
      <c r="G30" s="1096"/>
      <c r="H30" s="1096"/>
      <c r="I30" s="1096"/>
      <c r="J30" s="1096"/>
    </row>
    <row r="31" spans="1:10" ht="8.25" customHeight="1">
      <c r="A31" s="806"/>
      <c r="B31" s="806"/>
      <c r="C31" s="806"/>
      <c r="D31" s="806"/>
      <c r="E31" s="806"/>
      <c r="F31" s="806"/>
      <c r="G31" s="806"/>
      <c r="H31" s="806"/>
      <c r="I31" s="806"/>
      <c r="J31" s="806"/>
    </row>
    <row r="32" spans="1:10" ht="15">
      <c r="A32" s="1096" t="s">
        <v>768</v>
      </c>
      <c r="B32" s="1096"/>
      <c r="C32" s="1096"/>
      <c r="D32" s="1096"/>
      <c r="E32" s="1096"/>
      <c r="F32" s="1096"/>
      <c r="G32" s="1096"/>
      <c r="H32" s="1096"/>
      <c r="I32" s="1096"/>
      <c r="J32" s="1096"/>
    </row>
    <row r="33" spans="1:10" ht="9" customHeight="1">
      <c r="A33" s="806"/>
      <c r="B33" s="806"/>
      <c r="C33" s="806"/>
      <c r="D33" s="806"/>
      <c r="E33" s="806"/>
      <c r="F33" s="806"/>
      <c r="G33" s="806"/>
      <c r="H33" s="806"/>
      <c r="I33" s="806"/>
      <c r="J33" s="806"/>
    </row>
    <row r="34" spans="1:10" ht="15">
      <c r="A34" s="1091" t="s">
        <v>769</v>
      </c>
      <c r="B34" s="1091"/>
      <c r="C34" s="1091"/>
      <c r="D34" s="1091"/>
      <c r="E34" s="1091"/>
      <c r="F34" s="1091"/>
      <c r="G34" s="1091"/>
      <c r="H34" s="1091"/>
      <c r="I34" s="1091"/>
      <c r="J34" s="1091"/>
    </row>
    <row r="35" spans="1:10" ht="9" customHeight="1">
      <c r="A35" s="806"/>
      <c r="B35" s="806"/>
      <c r="C35" s="806"/>
      <c r="D35" s="806"/>
      <c r="E35" s="806"/>
      <c r="F35" s="806"/>
      <c r="G35" s="806"/>
      <c r="H35" s="806"/>
      <c r="I35" s="806"/>
      <c r="J35" s="806"/>
    </row>
    <row r="36" spans="1:10" ht="9" customHeight="1">
      <c r="A36" s="806"/>
      <c r="B36" s="806"/>
      <c r="C36" s="806"/>
      <c r="D36" s="806"/>
      <c r="E36" s="806"/>
      <c r="F36" s="806"/>
      <c r="G36" s="806"/>
      <c r="H36" s="806"/>
      <c r="I36" s="806"/>
      <c r="J36" s="806"/>
    </row>
    <row r="37" spans="1:10" ht="15">
      <c r="A37" s="1092" t="s">
        <v>770</v>
      </c>
      <c r="B37" s="1092"/>
      <c r="C37" s="1092"/>
      <c r="D37" s="1092"/>
      <c r="E37" s="1092"/>
      <c r="F37" s="1092"/>
      <c r="G37" s="1092"/>
      <c r="H37" s="1092"/>
      <c r="I37" s="1092"/>
      <c r="J37" s="1092"/>
    </row>
    <row r="38" spans="1:10" ht="15">
      <c r="A38" s="806" t="s">
        <v>771</v>
      </c>
      <c r="B38" s="806"/>
      <c r="C38" s="806"/>
      <c r="D38" s="806"/>
      <c r="E38" s="806"/>
      <c r="F38" s="806"/>
      <c r="G38" s="806"/>
      <c r="H38" s="806"/>
      <c r="I38" s="806"/>
      <c r="J38" s="806"/>
    </row>
    <row r="39" spans="1:10" ht="15">
      <c r="A39" s="806" t="s">
        <v>772</v>
      </c>
      <c r="B39" s="806"/>
      <c r="C39" s="806"/>
      <c r="D39" s="806"/>
      <c r="E39" s="806"/>
      <c r="F39" s="806"/>
      <c r="G39" s="806"/>
      <c r="H39" s="806"/>
      <c r="I39" s="806"/>
      <c r="J39" s="806"/>
    </row>
    <row r="40" spans="1:10" ht="15">
      <c r="A40" s="806"/>
      <c r="B40" s="806"/>
      <c r="C40" s="806"/>
      <c r="D40" s="806"/>
      <c r="E40" s="806"/>
      <c r="F40" s="806"/>
      <c r="G40" s="806"/>
      <c r="H40" s="806"/>
      <c r="I40" s="806"/>
      <c r="J40" s="806"/>
    </row>
    <row r="41" spans="1:10" ht="15">
      <c r="A41" s="806" t="s">
        <v>773</v>
      </c>
      <c r="B41" s="806"/>
      <c r="C41" s="806"/>
      <c r="D41" s="806"/>
      <c r="E41" s="806"/>
      <c r="F41" s="806"/>
      <c r="G41" s="806"/>
      <c r="H41" s="806"/>
      <c r="I41" s="806"/>
      <c r="J41" s="806"/>
    </row>
    <row r="42" spans="1:10" ht="15">
      <c r="A42" s="806" t="s">
        <v>774</v>
      </c>
      <c r="B42" s="806"/>
      <c r="C42" s="806"/>
      <c r="D42" s="806"/>
      <c r="E42" s="806"/>
      <c r="F42" s="806"/>
      <c r="G42" s="806"/>
      <c r="H42" s="806"/>
      <c r="I42" s="806"/>
      <c r="J42" s="806"/>
    </row>
    <row r="43" spans="1:10" ht="15">
      <c r="A43" s="806" t="s">
        <v>775</v>
      </c>
      <c r="B43" s="806"/>
      <c r="C43" s="806"/>
      <c r="D43" s="806"/>
      <c r="E43" s="806"/>
      <c r="F43" s="806"/>
      <c r="G43" s="806"/>
      <c r="H43" s="806"/>
      <c r="I43" s="806"/>
      <c r="J43" s="806"/>
    </row>
    <row r="44" spans="1:10" ht="15">
      <c r="A44" s="806"/>
      <c r="B44" s="806"/>
      <c r="C44" s="806"/>
      <c r="D44" s="806"/>
      <c r="E44" s="806"/>
      <c r="F44" s="806"/>
      <c r="G44" s="806"/>
      <c r="H44" s="806"/>
      <c r="I44" s="806"/>
      <c r="J44" s="806"/>
    </row>
    <row r="45" spans="1:10" ht="15">
      <c r="A45" s="806"/>
      <c r="B45" s="806"/>
      <c r="C45" s="806"/>
      <c r="D45" s="806"/>
      <c r="E45" s="806"/>
      <c r="F45" s="806"/>
      <c r="G45" s="806"/>
      <c r="H45" s="806"/>
      <c r="I45" s="806"/>
      <c r="J45" s="806"/>
    </row>
    <row r="46" spans="1:10" ht="15">
      <c r="A46" s="806"/>
      <c r="B46" s="806"/>
      <c r="C46" s="806"/>
      <c r="D46" s="806"/>
      <c r="E46" s="806"/>
      <c r="F46" s="806"/>
      <c r="G46" s="806"/>
      <c r="H46" s="806"/>
      <c r="I46" s="806"/>
      <c r="J46" s="806"/>
    </row>
    <row r="47" spans="1:10" ht="15">
      <c r="A47" s="806"/>
      <c r="B47" s="806"/>
      <c r="C47" s="806"/>
      <c r="D47" s="806"/>
      <c r="E47" s="806"/>
      <c r="F47" s="806"/>
      <c r="G47" s="806"/>
      <c r="H47" s="806"/>
      <c r="I47" s="806"/>
      <c r="J47" s="806"/>
    </row>
    <row r="48" spans="1:10" ht="15">
      <c r="A48" s="806" t="s">
        <v>776</v>
      </c>
      <c r="B48" s="806"/>
      <c r="C48" s="806"/>
      <c r="D48" s="806"/>
      <c r="E48" s="806"/>
      <c r="F48" s="806"/>
      <c r="G48" s="806"/>
      <c r="H48" s="806"/>
      <c r="I48" s="806"/>
      <c r="J48" s="806"/>
    </row>
    <row r="49" spans="1:10" ht="15">
      <c r="A49" s="806" t="s">
        <v>777</v>
      </c>
      <c r="B49" s="806"/>
      <c r="C49" s="806"/>
      <c r="D49" s="806"/>
      <c r="E49" s="806"/>
      <c r="F49" s="806"/>
      <c r="G49" s="806"/>
      <c r="H49" s="806"/>
      <c r="I49" s="806"/>
      <c r="J49" s="806"/>
    </row>
    <row r="50" spans="1:10" ht="15">
      <c r="A50" s="806"/>
      <c r="B50" s="806"/>
      <c r="C50" s="806"/>
      <c r="D50" s="806"/>
      <c r="E50" s="806"/>
      <c r="F50" s="806"/>
      <c r="G50" s="806"/>
      <c r="H50" s="806"/>
      <c r="I50" s="806"/>
      <c r="J50" s="806"/>
    </row>
    <row r="51" spans="1:10" ht="15">
      <c r="A51" s="806" t="s">
        <v>778</v>
      </c>
      <c r="B51" s="806"/>
      <c r="C51" s="806"/>
      <c r="D51" s="806"/>
      <c r="E51" s="806"/>
      <c r="F51" s="806"/>
      <c r="G51" s="806"/>
      <c r="H51" s="806"/>
      <c r="I51" s="806"/>
      <c r="J51" s="806"/>
    </row>
    <row r="52" spans="1:10" ht="15">
      <c r="A52" s="806" t="s">
        <v>779</v>
      </c>
      <c r="B52" s="806"/>
      <c r="C52" s="806"/>
      <c r="D52" s="806"/>
      <c r="E52" s="806"/>
      <c r="F52" s="806"/>
      <c r="G52" s="806"/>
      <c r="H52" s="806"/>
      <c r="I52" s="806"/>
      <c r="J52" s="806"/>
    </row>
    <row r="53" spans="1:10" ht="15">
      <c r="A53" s="806" t="s">
        <v>780</v>
      </c>
      <c r="B53" s="806"/>
      <c r="C53" s="806"/>
      <c r="D53" s="806"/>
      <c r="E53" s="806"/>
      <c r="F53" s="806"/>
      <c r="G53" s="806"/>
      <c r="H53" s="806"/>
      <c r="I53" s="806"/>
      <c r="J53" s="806"/>
    </row>
    <row r="54" spans="1:10" ht="15">
      <c r="A54" s="806"/>
      <c r="B54" s="806"/>
      <c r="C54" s="806"/>
      <c r="D54" s="806"/>
      <c r="E54" s="806"/>
      <c r="F54" s="806"/>
      <c r="G54" s="806"/>
      <c r="H54" s="806"/>
      <c r="I54" s="806"/>
      <c r="J54" s="806"/>
    </row>
    <row r="55" spans="1:10" ht="15">
      <c r="A55" s="806"/>
      <c r="B55" s="806"/>
      <c r="C55" s="806"/>
      <c r="D55" s="806"/>
      <c r="E55" s="806"/>
      <c r="F55" s="806"/>
      <c r="G55" s="806"/>
      <c r="H55" s="806"/>
      <c r="I55" s="806"/>
      <c r="J55" s="806"/>
    </row>
    <row r="56" spans="1:10" ht="15">
      <c r="A56" s="806"/>
      <c r="B56" s="806"/>
      <c r="C56" s="806"/>
      <c r="D56" s="806"/>
      <c r="E56" s="806"/>
      <c r="F56" s="806"/>
      <c r="G56" s="806"/>
      <c r="H56" s="806"/>
      <c r="I56" s="806"/>
      <c r="J56" s="806"/>
    </row>
    <row r="57" spans="1:10" ht="15">
      <c r="A57" s="806"/>
      <c r="B57" s="806"/>
      <c r="C57" s="806"/>
      <c r="D57" s="806"/>
      <c r="E57" s="806"/>
      <c r="F57" s="806"/>
      <c r="G57" s="806"/>
      <c r="H57" s="806"/>
      <c r="I57" s="806"/>
      <c r="J57" s="806"/>
    </row>
    <row r="58" spans="1:10" ht="15">
      <c r="A58" s="806"/>
      <c r="B58" s="806"/>
      <c r="C58" s="806"/>
      <c r="D58" s="806"/>
      <c r="E58" s="806"/>
      <c r="F58" s="806"/>
      <c r="G58" s="806"/>
      <c r="H58" s="806"/>
      <c r="I58" s="806"/>
      <c r="J58" s="806"/>
    </row>
    <row r="59" spans="1:10" ht="15">
      <c r="A59" s="806"/>
      <c r="B59" s="806"/>
      <c r="C59" s="806"/>
      <c r="D59" s="806"/>
      <c r="E59" s="806"/>
      <c r="F59" s="806"/>
      <c r="G59" s="806"/>
      <c r="H59" s="806"/>
      <c r="I59" s="806"/>
      <c r="J59" s="806"/>
    </row>
    <row r="60" spans="1:10" ht="15">
      <c r="A60" s="806"/>
      <c r="B60" s="806"/>
      <c r="C60" s="806"/>
      <c r="D60" s="806"/>
      <c r="E60" s="806"/>
      <c r="F60" s="806"/>
      <c r="G60" s="806"/>
      <c r="H60" s="806"/>
      <c r="I60" s="806"/>
      <c r="J60" s="806"/>
    </row>
    <row r="61" spans="1:10" ht="15">
      <c r="A61" s="806"/>
      <c r="B61" s="806"/>
      <c r="C61" s="806"/>
      <c r="D61" s="806"/>
      <c r="E61" s="806"/>
      <c r="F61" s="806"/>
      <c r="G61" s="806"/>
      <c r="H61" s="806"/>
      <c r="I61" s="806"/>
      <c r="J61" s="806"/>
    </row>
    <row r="62" spans="1:10" ht="15">
      <c r="A62" s="806"/>
      <c r="B62" s="806"/>
      <c r="C62" s="806"/>
      <c r="D62" s="806"/>
      <c r="E62" s="806"/>
      <c r="F62" s="806"/>
      <c r="G62" s="806"/>
      <c r="H62" s="806"/>
      <c r="I62" s="806"/>
      <c r="J62" s="806"/>
    </row>
    <row r="63" spans="1:10" ht="15">
      <c r="A63" s="806"/>
      <c r="B63" s="806"/>
      <c r="C63" s="806"/>
      <c r="D63" s="806"/>
      <c r="E63" s="806"/>
      <c r="F63" s="806"/>
      <c r="G63" s="806"/>
      <c r="H63" s="806"/>
      <c r="I63" s="806"/>
      <c r="J63" s="806"/>
    </row>
    <row r="64" spans="1:10" ht="15">
      <c r="A64" s="806"/>
      <c r="B64" s="806"/>
      <c r="C64" s="806"/>
      <c r="D64" s="806"/>
      <c r="E64" s="806"/>
      <c r="F64" s="806"/>
      <c r="G64" s="806"/>
      <c r="H64" s="806"/>
      <c r="I64" s="806"/>
      <c r="J64" s="806"/>
    </row>
    <row r="65" spans="1:10" ht="15">
      <c r="A65" s="806"/>
      <c r="B65" s="806"/>
      <c r="C65" s="806"/>
      <c r="D65" s="806"/>
      <c r="E65" s="806"/>
      <c r="F65" s="806"/>
      <c r="G65" s="806"/>
      <c r="H65" s="806"/>
      <c r="I65" s="806"/>
      <c r="J65" s="806"/>
    </row>
    <row r="66" spans="1:10" ht="15">
      <c r="A66" s="806"/>
      <c r="B66" s="806"/>
      <c r="C66" s="806"/>
      <c r="D66" s="806"/>
      <c r="E66" s="806"/>
      <c r="F66" s="806"/>
      <c r="G66" s="806"/>
      <c r="H66" s="806"/>
      <c r="I66" s="806"/>
      <c r="J66" s="806"/>
    </row>
    <row r="67" spans="1:10" ht="15">
      <c r="A67" s="806"/>
      <c r="B67" s="806"/>
      <c r="C67" s="806"/>
      <c r="D67" s="806"/>
      <c r="E67" s="806"/>
      <c r="F67" s="806"/>
      <c r="G67" s="806"/>
      <c r="H67" s="806"/>
      <c r="I67" s="806"/>
      <c r="J67" s="806"/>
    </row>
    <row r="68" spans="1:10" ht="15">
      <c r="A68" s="806"/>
      <c r="B68" s="806"/>
      <c r="C68" s="806"/>
      <c r="D68" s="806"/>
      <c r="E68" s="806"/>
      <c r="F68" s="806"/>
      <c r="G68" s="806"/>
      <c r="H68" s="806"/>
      <c r="I68" s="806"/>
      <c r="J68" s="806"/>
    </row>
    <row r="69" spans="1:10" ht="15">
      <c r="A69" s="806"/>
      <c r="B69" s="806"/>
      <c r="C69" s="806"/>
      <c r="D69" s="806"/>
      <c r="E69" s="806"/>
      <c r="F69" s="806"/>
      <c r="G69" s="806"/>
      <c r="H69" s="806"/>
      <c r="I69" s="806"/>
      <c r="J69" s="806"/>
    </row>
    <row r="70" spans="1:10" ht="15">
      <c r="A70" s="806"/>
      <c r="B70" s="806"/>
      <c r="C70" s="806"/>
      <c r="D70" s="806"/>
      <c r="E70" s="806"/>
      <c r="F70" s="806"/>
      <c r="G70" s="806"/>
      <c r="H70" s="806"/>
      <c r="I70" s="806"/>
      <c r="J70" s="806"/>
    </row>
    <row r="71" spans="1:10" ht="15">
      <c r="A71" s="806"/>
      <c r="B71" s="806"/>
      <c r="C71" s="806"/>
      <c r="D71" s="806"/>
      <c r="E71" s="806"/>
      <c r="F71" s="806"/>
      <c r="G71" s="806"/>
      <c r="H71" s="806"/>
      <c r="I71" s="806"/>
      <c r="J71" s="806"/>
    </row>
    <row r="72" spans="1:10" ht="15">
      <c r="A72" s="806"/>
      <c r="B72" s="806"/>
      <c r="C72" s="806"/>
      <c r="D72" s="806"/>
      <c r="E72" s="806"/>
      <c r="F72" s="806"/>
      <c r="G72" s="806"/>
      <c r="H72" s="806"/>
      <c r="I72" s="806"/>
      <c r="J72" s="806"/>
    </row>
    <row r="73" spans="1:10" ht="15">
      <c r="A73" s="806"/>
      <c r="B73" s="806"/>
      <c r="C73" s="806"/>
      <c r="D73" s="806"/>
      <c r="E73" s="806"/>
      <c r="F73" s="806"/>
      <c r="G73" s="806"/>
      <c r="H73" s="806"/>
      <c r="I73" s="806"/>
      <c r="J73" s="806"/>
    </row>
    <row r="74" spans="1:10" ht="15">
      <c r="A74" s="806"/>
      <c r="B74" s="806"/>
      <c r="C74" s="806"/>
      <c r="D74" s="806"/>
      <c r="E74" s="806"/>
      <c r="F74" s="806"/>
      <c r="G74" s="806"/>
      <c r="H74" s="806"/>
      <c r="I74" s="806"/>
      <c r="J74" s="806"/>
    </row>
    <row r="75" spans="1:10" ht="15">
      <c r="A75" s="806"/>
      <c r="B75" s="806"/>
      <c r="C75" s="806"/>
      <c r="D75" s="806"/>
      <c r="E75" s="806"/>
      <c r="F75" s="806"/>
      <c r="G75" s="806"/>
      <c r="H75" s="806"/>
      <c r="I75" s="806"/>
      <c r="J75" s="806"/>
    </row>
    <row r="76" spans="1:10" ht="15">
      <c r="A76" s="806"/>
      <c r="B76" s="806"/>
      <c r="C76" s="806"/>
      <c r="D76" s="806"/>
      <c r="E76" s="806"/>
      <c r="F76" s="806"/>
      <c r="G76" s="806"/>
      <c r="H76" s="806"/>
      <c r="I76" s="806"/>
      <c r="J76" s="806"/>
    </row>
    <row r="77" spans="1:10" ht="15">
      <c r="A77" s="806"/>
      <c r="B77" s="806"/>
      <c r="C77" s="806"/>
      <c r="D77" s="806"/>
      <c r="E77" s="806"/>
      <c r="F77" s="806"/>
      <c r="G77" s="806"/>
      <c r="H77" s="806"/>
      <c r="I77" s="806"/>
      <c r="J77" s="806"/>
    </row>
    <row r="78" spans="1:10" ht="15">
      <c r="A78" s="806"/>
      <c r="B78" s="806"/>
      <c r="C78" s="806"/>
      <c r="D78" s="806"/>
      <c r="E78" s="806"/>
      <c r="F78" s="806"/>
      <c r="G78" s="806"/>
      <c r="H78" s="806"/>
      <c r="I78" s="806"/>
      <c r="J78" s="806"/>
    </row>
    <row r="79" spans="1:10" ht="15">
      <c r="A79" s="806"/>
      <c r="B79" s="806"/>
      <c r="C79" s="806"/>
      <c r="D79" s="806"/>
      <c r="E79" s="806"/>
      <c r="F79" s="806"/>
      <c r="G79" s="806"/>
      <c r="H79" s="806"/>
      <c r="I79" s="806"/>
      <c r="J79" s="806"/>
    </row>
    <row r="80" spans="1:10" ht="15">
      <c r="A80" s="806"/>
      <c r="B80" s="806"/>
      <c r="C80" s="806"/>
      <c r="D80" s="806"/>
      <c r="E80" s="806"/>
      <c r="F80" s="806"/>
      <c r="G80" s="806"/>
      <c r="H80" s="806"/>
      <c r="I80" s="806"/>
      <c r="J80" s="806"/>
    </row>
    <row r="81" spans="1:10" ht="15">
      <c r="A81" s="806"/>
      <c r="B81" s="806"/>
      <c r="C81" s="806"/>
      <c r="D81" s="806"/>
      <c r="E81" s="806"/>
      <c r="F81" s="806"/>
      <c r="G81" s="806"/>
      <c r="H81" s="806"/>
      <c r="I81" s="806"/>
      <c r="J81" s="806"/>
    </row>
    <row r="82" spans="1:10" ht="15">
      <c r="A82" s="806"/>
      <c r="B82" s="806"/>
      <c r="C82" s="806"/>
      <c r="D82" s="806"/>
      <c r="E82" s="806"/>
      <c r="F82" s="806"/>
      <c r="G82" s="806"/>
      <c r="H82" s="806"/>
      <c r="I82" s="806"/>
      <c r="J82" s="806"/>
    </row>
    <row r="83" spans="1:10" ht="15">
      <c r="A83" s="806"/>
      <c r="B83" s="806"/>
      <c r="C83" s="806"/>
      <c r="D83" s="806"/>
      <c r="E83" s="806"/>
      <c r="F83" s="806"/>
      <c r="G83" s="806"/>
      <c r="H83" s="806"/>
      <c r="I83" s="806"/>
      <c r="J83" s="806"/>
    </row>
    <row r="84" spans="1:10" ht="15">
      <c r="A84" s="806"/>
      <c r="B84" s="806"/>
      <c r="C84" s="806"/>
      <c r="D84" s="806"/>
      <c r="E84" s="806"/>
      <c r="F84" s="806"/>
      <c r="G84" s="806"/>
      <c r="H84" s="806"/>
      <c r="I84" s="806"/>
      <c r="J84" s="806"/>
    </row>
    <row r="85" spans="1:10" ht="15">
      <c r="A85" s="806"/>
      <c r="B85" s="806"/>
      <c r="C85" s="806"/>
      <c r="D85" s="806"/>
      <c r="E85" s="806"/>
      <c r="F85" s="806"/>
      <c r="G85" s="806"/>
      <c r="H85" s="806"/>
      <c r="I85" s="806"/>
      <c r="J85" s="806"/>
    </row>
    <row r="86" spans="1:10" ht="15">
      <c r="A86" s="806"/>
      <c r="B86" s="806"/>
      <c r="C86" s="806"/>
      <c r="D86" s="806"/>
      <c r="E86" s="806"/>
      <c r="F86" s="806"/>
      <c r="G86" s="806"/>
      <c r="H86" s="806"/>
      <c r="I86" s="806"/>
      <c r="J86" s="806"/>
    </row>
    <row r="87" spans="1:10" ht="15">
      <c r="A87" s="806"/>
      <c r="B87" s="806"/>
      <c r="C87" s="806"/>
      <c r="D87" s="806"/>
      <c r="E87" s="806"/>
      <c r="F87" s="806"/>
      <c r="G87" s="806"/>
      <c r="H87" s="806"/>
      <c r="I87" s="806"/>
      <c r="J87" s="806"/>
    </row>
    <row r="88" spans="1:10" ht="15">
      <c r="A88" s="806"/>
      <c r="B88" s="806"/>
      <c r="C88" s="806"/>
      <c r="D88" s="806"/>
      <c r="E88" s="806"/>
      <c r="F88" s="806"/>
      <c r="G88" s="806"/>
      <c r="H88" s="806"/>
      <c r="I88" s="806"/>
      <c r="J88" s="806"/>
    </row>
    <row r="89" spans="1:10" ht="15">
      <c r="A89" s="806"/>
      <c r="B89" s="806"/>
      <c r="C89" s="806"/>
      <c r="D89" s="806"/>
      <c r="E89" s="806"/>
      <c r="F89" s="806"/>
      <c r="G89" s="806"/>
      <c r="H89" s="806"/>
      <c r="I89" s="806"/>
      <c r="J89" s="806"/>
    </row>
    <row r="90" spans="1:10" ht="15">
      <c r="A90" s="806"/>
      <c r="B90" s="806"/>
      <c r="C90" s="806"/>
      <c r="D90" s="806"/>
      <c r="E90" s="806"/>
      <c r="F90" s="806"/>
      <c r="G90" s="806"/>
      <c r="H90" s="806"/>
      <c r="I90" s="806"/>
      <c r="J90" s="806"/>
    </row>
  </sheetData>
  <sheetProtection selectLockedCells="1" selectUnlockedCells="1"/>
  <mergeCells count="12">
    <mergeCell ref="D24:G24"/>
    <mergeCell ref="A26:J26"/>
    <mergeCell ref="A30:J30"/>
    <mergeCell ref="A32:J32"/>
    <mergeCell ref="A34:J34"/>
    <mergeCell ref="A37:J37"/>
    <mergeCell ref="A2:J2"/>
    <mergeCell ref="A3:J3"/>
    <mergeCell ref="A4:J4"/>
    <mergeCell ref="A16:J16"/>
    <mergeCell ref="A18:J18"/>
    <mergeCell ref="A22:J22"/>
  </mergeCells>
  <printOptions horizontalCentered="1"/>
  <pageMargins left="0.4597222222222222" right="0.5" top="0.75" bottom="0.75" header="0.5118055555555555" footer="0.5118055555555555"/>
  <pageSetup horizontalDpi="300" verticalDpi="300" orientation="portrait" paperSize="5"/>
  <drawing r:id="rId1"/>
</worksheet>
</file>

<file path=xl/worksheets/sheet12.xml><?xml version="1.0" encoding="utf-8"?>
<worksheet xmlns="http://schemas.openxmlformats.org/spreadsheetml/2006/main" xmlns:r="http://schemas.openxmlformats.org/officeDocument/2006/relationships">
  <dimension ref="A1:K50"/>
  <sheetViews>
    <sheetView showGridLines="0" zoomScalePageLayoutView="0" workbookViewId="0" topLeftCell="A1">
      <selection activeCell="A12" sqref="A12"/>
    </sheetView>
  </sheetViews>
  <sheetFormatPr defaultColWidth="9.140625" defaultRowHeight="15"/>
  <cols>
    <col min="1" max="1" width="25.00390625" style="0" customWidth="1"/>
    <col min="2" max="2" width="18.00390625" style="0" customWidth="1"/>
    <col min="3" max="3" width="14.28125" style="0" customWidth="1"/>
    <col min="4" max="4" width="26.8515625" style="0" customWidth="1"/>
  </cols>
  <sheetData>
    <row r="1" spans="1:6" ht="16.5">
      <c r="A1" s="814" t="s">
        <v>781</v>
      </c>
      <c r="B1" s="19"/>
      <c r="C1" s="19"/>
      <c r="D1" s="19"/>
      <c r="E1" s="19"/>
      <c r="F1" s="19"/>
    </row>
    <row r="2" spans="1:6" ht="16.5">
      <c r="A2" s="814"/>
      <c r="B2" s="19"/>
      <c r="C2" s="19"/>
      <c r="D2" s="19"/>
      <c r="E2" s="19"/>
      <c r="F2" s="19"/>
    </row>
    <row r="3" spans="1:6" ht="16.5">
      <c r="A3" s="814" t="s">
        <v>782</v>
      </c>
      <c r="B3" s="19"/>
      <c r="C3" s="19"/>
      <c r="D3" s="19"/>
      <c r="E3" s="19"/>
      <c r="F3" s="19"/>
    </row>
    <row r="4" spans="1:6" ht="16.5">
      <c r="A4" s="814"/>
      <c r="B4" s="19"/>
      <c r="C4" s="19"/>
      <c r="D4" s="19"/>
      <c r="E4" s="19"/>
      <c r="F4" s="19"/>
    </row>
    <row r="5" spans="1:11" ht="15">
      <c r="A5" s="815" t="s">
        <v>783</v>
      </c>
      <c r="B5" s="19"/>
      <c r="C5" s="19" t="s">
        <v>608</v>
      </c>
      <c r="D5" s="19"/>
      <c r="E5" s="19"/>
      <c r="F5" s="19"/>
      <c r="K5" s="816"/>
    </row>
    <row r="6" spans="1:6" ht="15">
      <c r="A6" s="815"/>
      <c r="B6" s="19"/>
      <c r="C6" s="19"/>
      <c r="D6" s="19"/>
      <c r="E6" s="19"/>
      <c r="F6" s="19"/>
    </row>
    <row r="7" spans="1:6" ht="44.25" customHeight="1">
      <c r="A7" s="1100" t="s">
        <v>784</v>
      </c>
      <c r="B7" s="1100"/>
      <c r="C7" s="1100"/>
      <c r="D7" s="1100"/>
      <c r="E7" s="817"/>
      <c r="F7" s="817"/>
    </row>
    <row r="8" spans="1:6" ht="16.5">
      <c r="A8" s="814"/>
      <c r="B8" s="19"/>
      <c r="C8" s="19"/>
      <c r="D8" s="19"/>
      <c r="E8" s="19"/>
      <c r="F8" s="19"/>
    </row>
    <row r="9" spans="1:6" ht="16.5">
      <c r="A9" s="814" t="s">
        <v>785</v>
      </c>
      <c r="B9" s="19"/>
      <c r="C9" s="19"/>
      <c r="D9" s="19"/>
      <c r="E9" s="19"/>
      <c r="F9" s="19"/>
    </row>
    <row r="10" spans="1:6" ht="16.5">
      <c r="A10" s="818" t="s">
        <v>786</v>
      </c>
      <c r="B10" s="19"/>
      <c r="C10" s="19"/>
      <c r="D10" s="19"/>
      <c r="E10" s="19"/>
      <c r="F10" s="19"/>
    </row>
    <row r="11" spans="1:6" ht="16.5">
      <c r="A11" s="818" t="s">
        <v>787</v>
      </c>
      <c r="B11" s="19"/>
      <c r="C11" s="19"/>
      <c r="D11" s="19"/>
      <c r="E11" s="19"/>
      <c r="F11" s="19"/>
    </row>
    <row r="12" spans="1:6" ht="16.5">
      <c r="A12" s="818" t="s">
        <v>788</v>
      </c>
      <c r="B12" s="19"/>
      <c r="C12" s="19"/>
      <c r="D12" s="19"/>
      <c r="E12" s="19"/>
      <c r="F12" s="19"/>
    </row>
    <row r="13" spans="1:6" ht="16.5">
      <c r="A13" s="818" t="s">
        <v>789</v>
      </c>
      <c r="B13" s="19"/>
      <c r="C13" s="19"/>
      <c r="D13" s="19"/>
      <c r="E13" s="19"/>
      <c r="F13" s="19"/>
    </row>
    <row r="14" spans="1:6" ht="16.5">
      <c r="A14" s="818" t="s">
        <v>790</v>
      </c>
      <c r="B14" s="19"/>
      <c r="C14" s="19"/>
      <c r="D14" s="19"/>
      <c r="E14" s="19"/>
      <c r="F14" s="19"/>
    </row>
    <row r="15" spans="1:6" ht="16.5">
      <c r="A15" s="818" t="s">
        <v>791</v>
      </c>
      <c r="B15" s="19"/>
      <c r="C15" s="19"/>
      <c r="D15" s="19"/>
      <c r="E15" s="19"/>
      <c r="F15" s="19"/>
    </row>
    <row r="16" spans="1:6" ht="16.5">
      <c r="A16" s="818" t="s">
        <v>792</v>
      </c>
      <c r="B16" s="19"/>
      <c r="C16" s="19"/>
      <c r="D16" s="19"/>
      <c r="E16" s="19"/>
      <c r="F16" s="19"/>
    </row>
    <row r="17" spans="1:6" ht="16.5">
      <c r="A17" s="818" t="s">
        <v>793</v>
      </c>
      <c r="B17" s="19"/>
      <c r="C17" s="19"/>
      <c r="D17" s="19"/>
      <c r="E17" s="19"/>
      <c r="F17" s="19"/>
    </row>
    <row r="18" spans="1:6" ht="16.5">
      <c r="A18" s="814"/>
      <c r="B18" s="19"/>
      <c r="C18" s="19"/>
      <c r="D18" s="19"/>
      <c r="E18" s="19"/>
      <c r="F18" s="19"/>
    </row>
    <row r="19" spans="1:6" ht="54.75" customHeight="1">
      <c r="A19" s="1101" t="s">
        <v>794</v>
      </c>
      <c r="B19" s="1101"/>
      <c r="C19" s="1101"/>
      <c r="D19" s="1101"/>
      <c r="E19" s="1101"/>
      <c r="F19" s="1101"/>
    </row>
    <row r="20" spans="1:6" ht="16.5">
      <c r="A20" s="814"/>
      <c r="B20" s="19"/>
      <c r="C20" s="19"/>
      <c r="D20" s="19"/>
      <c r="E20" s="19"/>
      <c r="F20" s="19"/>
    </row>
    <row r="21" spans="1:6" ht="15">
      <c r="A21" s="819" t="s">
        <v>795</v>
      </c>
      <c r="B21" s="19"/>
      <c r="C21" s="19"/>
      <c r="D21" s="19"/>
      <c r="E21" s="19"/>
      <c r="F21" s="19"/>
    </row>
    <row r="22" spans="1:6" ht="15">
      <c r="A22" s="815"/>
      <c r="B22" s="19"/>
      <c r="C22" s="19"/>
      <c r="D22" s="19"/>
      <c r="E22" s="19"/>
      <c r="F22" s="19"/>
    </row>
    <row r="23" spans="1:6" ht="16.5">
      <c r="A23" s="814" t="s">
        <v>796</v>
      </c>
      <c r="B23" s="19"/>
      <c r="C23" s="19"/>
      <c r="D23" s="19"/>
      <c r="E23" s="19"/>
      <c r="F23" s="19"/>
    </row>
    <row r="24" spans="1:6" ht="16.5">
      <c r="A24" s="814" t="s">
        <v>797</v>
      </c>
      <c r="B24" s="19"/>
      <c r="C24" s="19"/>
      <c r="D24" s="19" t="s">
        <v>798</v>
      </c>
      <c r="E24" s="19"/>
      <c r="F24" s="19"/>
    </row>
    <row r="25" spans="1:6" ht="16.5">
      <c r="A25" s="814" t="s">
        <v>799</v>
      </c>
      <c r="B25" s="19"/>
      <c r="C25" s="19"/>
      <c r="D25" s="820" t="s">
        <v>800</v>
      </c>
      <c r="E25" s="19"/>
      <c r="F25" s="19"/>
    </row>
    <row r="26" spans="2:6" ht="16.5">
      <c r="B26" s="19"/>
      <c r="C26" s="19"/>
      <c r="D26" s="814" t="s">
        <v>801</v>
      </c>
      <c r="E26" s="19"/>
      <c r="F26" s="19"/>
    </row>
    <row r="27" spans="1:6" ht="16.5">
      <c r="A27" s="814" t="s">
        <v>802</v>
      </c>
      <c r="B27" s="19"/>
      <c r="C27" s="19"/>
      <c r="D27" s="814" t="s">
        <v>803</v>
      </c>
      <c r="F27" s="19"/>
    </row>
    <row r="28" spans="1:6" ht="30" customHeight="1">
      <c r="A28" s="814" t="s">
        <v>804</v>
      </c>
      <c r="B28" s="19"/>
      <c r="C28" s="19"/>
      <c r="D28" s="19"/>
      <c r="E28" s="19"/>
      <c r="F28" s="19"/>
    </row>
    <row r="29" spans="1:6" ht="16.5">
      <c r="A29" s="814" t="s">
        <v>805</v>
      </c>
      <c r="B29" s="814" t="s">
        <v>806</v>
      </c>
      <c r="C29" s="19"/>
      <c r="D29" s="19"/>
      <c r="E29" s="19"/>
      <c r="F29" s="19"/>
    </row>
    <row r="30" spans="1:6" ht="16.5">
      <c r="A30" s="814" t="s">
        <v>807</v>
      </c>
      <c r="B30" s="19"/>
      <c r="C30" s="19"/>
      <c r="D30" s="19"/>
      <c r="E30" s="19"/>
      <c r="F30" s="19"/>
    </row>
    <row r="31" spans="1:6" ht="16.5">
      <c r="A31" s="821" t="s">
        <v>808</v>
      </c>
      <c r="B31" s="822" t="s">
        <v>809</v>
      </c>
      <c r="C31" s="822" t="s">
        <v>810</v>
      </c>
      <c r="D31" s="822" t="s">
        <v>811</v>
      </c>
      <c r="E31" s="19"/>
      <c r="F31" s="19"/>
    </row>
    <row r="32" spans="1:6" ht="16.5">
      <c r="A32" s="823" t="s">
        <v>812</v>
      </c>
      <c r="B32" s="824"/>
      <c r="C32" s="824"/>
      <c r="D32" s="824"/>
      <c r="E32" s="19"/>
      <c r="F32" s="19"/>
    </row>
    <row r="33" spans="1:6" ht="22.5" customHeight="1">
      <c r="A33" s="825" t="s">
        <v>813</v>
      </c>
      <c r="B33" s="824"/>
      <c r="C33" s="824"/>
      <c r="D33" s="824"/>
      <c r="E33" s="19"/>
      <c r="F33" s="19"/>
    </row>
    <row r="34" spans="1:6" ht="16.5">
      <c r="A34" s="823" t="s">
        <v>814</v>
      </c>
      <c r="B34" s="824"/>
      <c r="C34" s="824"/>
      <c r="D34" s="824"/>
      <c r="E34" s="19"/>
      <c r="F34" s="19"/>
    </row>
    <row r="35" spans="1:6" ht="16.5">
      <c r="A35" s="823" t="s">
        <v>815</v>
      </c>
      <c r="B35" s="824"/>
      <c r="C35" s="824"/>
      <c r="D35" s="824"/>
      <c r="E35" s="19"/>
      <c r="F35" s="19"/>
    </row>
    <row r="36" spans="1:6" ht="16.5">
      <c r="A36" s="823" t="s">
        <v>816</v>
      </c>
      <c r="B36" s="824"/>
      <c r="C36" s="824"/>
      <c r="D36" s="824"/>
      <c r="E36" s="19"/>
      <c r="F36" s="19"/>
    </row>
    <row r="37" spans="1:6" ht="16.5">
      <c r="A37" s="823" t="s">
        <v>817</v>
      </c>
      <c r="B37" s="824"/>
      <c r="C37" s="824"/>
      <c r="D37" s="824"/>
      <c r="E37" s="19"/>
      <c r="F37" s="19"/>
    </row>
    <row r="38" spans="1:6" ht="16.5">
      <c r="A38" s="814"/>
      <c r="B38" s="19"/>
      <c r="C38" s="19"/>
      <c r="D38" s="19"/>
      <c r="E38" s="19"/>
      <c r="F38" s="19"/>
    </row>
    <row r="39" spans="1:6" ht="16.5">
      <c r="A39" s="814" t="s">
        <v>818</v>
      </c>
      <c r="B39" s="19"/>
      <c r="C39" s="19"/>
      <c r="D39" s="19"/>
      <c r="E39" s="19"/>
      <c r="F39" s="19"/>
    </row>
    <row r="40" spans="1:6" ht="16.5">
      <c r="A40" s="814" t="s">
        <v>819</v>
      </c>
      <c r="B40" s="19"/>
      <c r="C40" s="19"/>
      <c r="D40" s="19"/>
      <c r="E40" s="19"/>
      <c r="F40" s="19"/>
    </row>
    <row r="41" spans="1:6" ht="16.5">
      <c r="A41" s="814" t="s">
        <v>820</v>
      </c>
      <c r="B41" s="19"/>
      <c r="C41" s="19"/>
      <c r="D41" s="19"/>
      <c r="E41" s="19"/>
      <c r="F41" s="19"/>
    </row>
    <row r="42" spans="1:6" ht="16.5">
      <c r="A42" s="814" t="s">
        <v>821</v>
      </c>
      <c r="B42" s="19"/>
      <c r="C42" s="19"/>
      <c r="D42" s="19"/>
      <c r="E42" s="19"/>
      <c r="F42" s="19"/>
    </row>
    <row r="43" spans="1:6" ht="16.5">
      <c r="A43" s="814" t="s">
        <v>822</v>
      </c>
      <c r="B43" s="19"/>
      <c r="C43" s="19"/>
      <c r="D43" s="19"/>
      <c r="E43" s="19"/>
      <c r="F43" s="19"/>
    </row>
    <row r="44" spans="1:6" ht="16.5">
      <c r="A44" s="814" t="s">
        <v>823</v>
      </c>
      <c r="B44" s="19"/>
      <c r="C44" s="19"/>
      <c r="D44" s="19"/>
      <c r="E44" s="19"/>
      <c r="F44" s="19"/>
    </row>
    <row r="45" ht="16.5">
      <c r="A45" s="820"/>
    </row>
    <row r="46" ht="16.5">
      <c r="A46" s="820"/>
    </row>
    <row r="47" ht="16.5">
      <c r="D47" s="826" t="s">
        <v>824</v>
      </c>
    </row>
    <row r="48" ht="16.5">
      <c r="A48" s="820"/>
    </row>
    <row r="49" ht="16.5">
      <c r="A49" s="820" t="s">
        <v>825</v>
      </c>
    </row>
    <row r="50" ht="16.5">
      <c r="A50" s="820" t="s">
        <v>826</v>
      </c>
    </row>
  </sheetData>
  <sheetProtection selectLockedCells="1" selectUnlockedCells="1"/>
  <mergeCells count="2">
    <mergeCell ref="A7:D7"/>
    <mergeCell ref="A19:F19"/>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C1:AD162"/>
  <sheetViews>
    <sheetView showGridLines="0" zoomScalePageLayoutView="0" workbookViewId="0" topLeftCell="C7">
      <selection activeCell="H6" sqref="H6"/>
    </sheetView>
  </sheetViews>
  <sheetFormatPr defaultColWidth="9.140625" defaultRowHeight="15"/>
  <cols>
    <col min="1" max="2" width="0" style="0" hidden="1" customWidth="1"/>
    <col min="3" max="3" width="62.7109375" style="0" customWidth="1"/>
    <col min="4" max="4" width="5.00390625" style="0" customWidth="1"/>
    <col min="5" max="5" width="23.28125" style="0" customWidth="1"/>
    <col min="10" max="10" width="12.421875" style="0" customWidth="1"/>
    <col min="11" max="11" width="12.28125" style="0" customWidth="1"/>
    <col min="12" max="12" width="7.28125" style="0" customWidth="1"/>
    <col min="13" max="13" width="8.8515625" style="0" customWidth="1"/>
    <col min="14" max="15" width="10.7109375" style="0" customWidth="1"/>
  </cols>
  <sheetData>
    <row r="1" spans="3:30" ht="15.75">
      <c r="C1" s="827" t="s">
        <v>827</v>
      </c>
      <c r="D1" s="828"/>
      <c r="F1" s="9"/>
      <c r="G1" s="9"/>
      <c r="H1" s="9"/>
      <c r="I1" s="9"/>
      <c r="J1" s="9"/>
      <c r="K1" s="9"/>
      <c r="L1" s="9"/>
      <c r="M1" s="9"/>
      <c r="N1" s="9"/>
      <c r="O1" s="9"/>
      <c r="P1" s="9"/>
      <c r="Q1" s="9"/>
      <c r="R1" s="9"/>
      <c r="S1" s="9"/>
      <c r="T1" s="9"/>
      <c r="U1" s="9"/>
      <c r="V1" s="9"/>
      <c r="W1" s="9"/>
      <c r="X1" s="9"/>
      <c r="Y1" s="9"/>
      <c r="Z1" s="9"/>
      <c r="AA1" s="9"/>
      <c r="AB1" s="9"/>
      <c r="AC1" s="9"/>
      <c r="AD1" s="9"/>
    </row>
    <row r="2" spans="3:30" ht="15">
      <c r="C2" s="829"/>
      <c r="D2" s="830"/>
      <c r="F2" s="9"/>
      <c r="G2" s="9"/>
      <c r="H2" s="9"/>
      <c r="I2" s="9"/>
      <c r="J2" s="9"/>
      <c r="K2" s="9"/>
      <c r="L2" s="9"/>
      <c r="M2" s="9"/>
      <c r="N2" s="9"/>
      <c r="O2" s="9"/>
      <c r="P2" s="9"/>
      <c r="Q2" s="9"/>
      <c r="R2" s="9"/>
      <c r="S2" s="9"/>
      <c r="T2" s="9"/>
      <c r="U2" s="9"/>
      <c r="V2" s="9"/>
      <c r="W2" s="9"/>
      <c r="X2" s="9"/>
      <c r="Y2" s="9"/>
      <c r="Z2" s="9"/>
      <c r="AA2" s="9"/>
      <c r="AB2" s="9"/>
      <c r="AC2" s="9"/>
      <c r="AD2" s="9"/>
    </row>
    <row r="3" spans="3:30" ht="15">
      <c r="C3" s="829" t="s">
        <v>828</v>
      </c>
      <c r="D3" s="830"/>
      <c r="E3">
        <v>100000</v>
      </c>
      <c r="F3" s="9"/>
      <c r="G3" s="9"/>
      <c r="H3" s="9"/>
      <c r="I3" s="9"/>
      <c r="J3" s="9"/>
      <c r="K3" s="9"/>
      <c r="L3" s="9"/>
      <c r="M3" s="9"/>
      <c r="N3" s="9"/>
      <c r="O3" s="9"/>
      <c r="P3" s="9"/>
      <c r="Q3" s="9"/>
      <c r="R3" s="9"/>
      <c r="S3" s="9"/>
      <c r="T3" s="9"/>
      <c r="U3" s="9"/>
      <c r="V3" s="9"/>
      <c r="W3" s="9"/>
      <c r="X3" s="9"/>
      <c r="Y3" s="9"/>
      <c r="Z3" s="9"/>
      <c r="AA3" s="9"/>
      <c r="AB3" s="9"/>
      <c r="AC3" s="9"/>
      <c r="AD3" s="9"/>
    </row>
    <row r="4" spans="3:30" ht="15">
      <c r="C4" s="831" t="s">
        <v>829</v>
      </c>
      <c r="D4" s="830"/>
      <c r="E4">
        <v>100000</v>
      </c>
      <c r="F4" s="9"/>
      <c r="G4" s="9"/>
      <c r="H4" s="9"/>
      <c r="I4" s="9"/>
      <c r="J4" s="9"/>
      <c r="K4" s="9"/>
      <c r="L4" s="9"/>
      <c r="M4" s="9"/>
      <c r="N4" s="9"/>
      <c r="O4" s="9"/>
      <c r="P4" s="9"/>
      <c r="Q4" s="9"/>
      <c r="R4" s="9"/>
      <c r="S4" s="9"/>
      <c r="T4" s="9"/>
      <c r="U4" s="9"/>
      <c r="V4" s="9"/>
      <c r="W4" s="9"/>
      <c r="X4" s="9"/>
      <c r="Y4" s="9"/>
      <c r="Z4" s="9"/>
      <c r="AA4" s="9"/>
      <c r="AB4" s="9"/>
      <c r="AC4" s="9"/>
      <c r="AD4" s="9"/>
    </row>
    <row r="5" spans="3:30" ht="15">
      <c r="C5" s="831" t="s">
        <v>830</v>
      </c>
      <c r="D5" s="830"/>
      <c r="E5">
        <v>100000</v>
      </c>
      <c r="F5" s="9"/>
      <c r="G5" s="9"/>
      <c r="H5" s="9"/>
      <c r="I5" s="9"/>
      <c r="J5" s="9"/>
      <c r="K5" s="9"/>
      <c r="L5" s="9"/>
      <c r="M5" s="9"/>
      <c r="N5" s="9"/>
      <c r="O5" s="9"/>
      <c r="P5" s="9"/>
      <c r="Q5" s="9"/>
      <c r="R5" s="9"/>
      <c r="S5" s="9"/>
      <c r="T5" s="9"/>
      <c r="U5" s="9"/>
      <c r="V5" s="9"/>
      <c r="W5" s="9"/>
      <c r="X5" s="9"/>
      <c r="Y5" s="9"/>
      <c r="Z5" s="9"/>
      <c r="AA5" s="9"/>
      <c r="AB5" s="9"/>
      <c r="AC5" s="9"/>
      <c r="AD5" s="9"/>
    </row>
    <row r="6" spans="3:30" ht="15">
      <c r="C6" s="831" t="s">
        <v>831</v>
      </c>
      <c r="D6" s="830"/>
      <c r="E6">
        <v>100000</v>
      </c>
      <c r="F6" s="9"/>
      <c r="G6" s="9"/>
      <c r="H6" s="9"/>
      <c r="I6" s="9"/>
      <c r="J6" s="9"/>
      <c r="K6" s="9"/>
      <c r="L6" s="9"/>
      <c r="M6" s="9"/>
      <c r="N6" s="9"/>
      <c r="O6" s="9"/>
      <c r="P6" s="9"/>
      <c r="Q6" s="9"/>
      <c r="R6" s="9"/>
      <c r="S6" s="9"/>
      <c r="T6" s="9"/>
      <c r="U6" s="9"/>
      <c r="V6" s="9"/>
      <c r="W6" s="9"/>
      <c r="X6" s="9"/>
      <c r="Y6" s="9"/>
      <c r="Z6" s="9"/>
      <c r="AA6" s="9"/>
      <c r="AB6" s="9"/>
      <c r="AC6" s="9"/>
      <c r="AD6" s="9"/>
    </row>
    <row r="7" spans="3:30" ht="15">
      <c r="C7" s="831" t="s">
        <v>832</v>
      </c>
      <c r="D7" s="830"/>
      <c r="F7" s="9"/>
      <c r="G7" s="9"/>
      <c r="H7" s="9"/>
      <c r="I7" s="9"/>
      <c r="J7" s="9"/>
      <c r="K7" s="9"/>
      <c r="L7" s="9"/>
      <c r="M7" s="9"/>
      <c r="N7" s="9"/>
      <c r="O7" s="9"/>
      <c r="P7" s="9"/>
      <c r="Q7" s="9"/>
      <c r="R7" s="9"/>
      <c r="S7" s="9"/>
      <c r="T7" s="9"/>
      <c r="U7" s="9"/>
      <c r="V7" s="9"/>
      <c r="W7" s="9"/>
      <c r="X7" s="9"/>
      <c r="Y7" s="9"/>
      <c r="Z7" s="9"/>
      <c r="AA7" s="9"/>
      <c r="AB7" s="9"/>
      <c r="AC7" s="9"/>
      <c r="AD7" s="9"/>
    </row>
    <row r="8" spans="3:30" ht="15">
      <c r="C8" s="831" t="s">
        <v>833</v>
      </c>
      <c r="D8" s="830"/>
      <c r="F8" s="9"/>
      <c r="G8" s="9"/>
      <c r="H8" s="9"/>
      <c r="I8" s="9"/>
      <c r="J8" s="9"/>
      <c r="K8" s="9"/>
      <c r="L8" s="9"/>
      <c r="M8" s="9"/>
      <c r="N8" s="9"/>
      <c r="O8" s="9"/>
      <c r="P8" s="9"/>
      <c r="Q8" s="9"/>
      <c r="R8" s="9"/>
      <c r="S8" s="9"/>
      <c r="T8" s="9"/>
      <c r="U8" s="9"/>
      <c r="V8" s="9"/>
      <c r="W8" s="9"/>
      <c r="X8" s="9"/>
      <c r="Y8" s="9"/>
      <c r="Z8" s="9"/>
      <c r="AA8" s="9"/>
      <c r="AB8" s="9"/>
      <c r="AC8" s="9"/>
      <c r="AD8" s="9"/>
    </row>
    <row r="9" spans="3:30" ht="15.75">
      <c r="C9" s="831" t="s">
        <v>834</v>
      </c>
      <c r="D9" s="831"/>
      <c r="E9" s="832"/>
      <c r="F9" s="9"/>
      <c r="G9" s="9"/>
      <c r="H9" s="9"/>
      <c r="I9" s="9"/>
      <c r="J9" s="9"/>
      <c r="K9" s="9"/>
      <c r="L9" s="9"/>
      <c r="M9" s="9"/>
      <c r="N9" s="9"/>
      <c r="O9" s="9"/>
      <c r="P9" s="9"/>
      <c r="Q9" s="9"/>
      <c r="R9" s="9"/>
      <c r="S9" s="9"/>
      <c r="T9" s="9"/>
      <c r="U9" s="9"/>
      <c r="V9" s="9"/>
      <c r="W9" s="9"/>
      <c r="X9" s="9"/>
      <c r="Y9" s="9"/>
      <c r="Z9" s="9"/>
      <c r="AA9" s="9"/>
      <c r="AB9" s="9"/>
      <c r="AC9" s="9"/>
      <c r="AD9" s="9"/>
    </row>
    <row r="10" spans="3:30" ht="15.75">
      <c r="C10" s="831" t="s">
        <v>835</v>
      </c>
      <c r="D10" s="831"/>
      <c r="E10" s="832"/>
      <c r="F10" s="9"/>
      <c r="G10" s="9"/>
      <c r="T10" s="9"/>
      <c r="U10" s="9"/>
      <c r="V10" s="9"/>
      <c r="W10" s="9"/>
      <c r="X10" s="9"/>
      <c r="Y10" s="9"/>
      <c r="Z10" s="9"/>
      <c r="AA10" s="9"/>
      <c r="AB10" s="9"/>
      <c r="AC10" s="9"/>
      <c r="AD10" s="9"/>
    </row>
    <row r="11" spans="3:30" ht="15.75">
      <c r="C11" s="831" t="s">
        <v>836</v>
      </c>
      <c r="D11" s="831"/>
      <c r="E11" s="832"/>
      <c r="F11" s="9"/>
      <c r="G11" s="9"/>
      <c r="T11" s="9"/>
      <c r="U11" s="9"/>
      <c r="V11" s="9"/>
      <c r="W11" s="9"/>
      <c r="X11" s="9"/>
      <c r="Y11" s="9"/>
      <c r="Z11" s="9"/>
      <c r="AA11" s="9"/>
      <c r="AB11" s="9"/>
      <c r="AC11" s="9"/>
      <c r="AD11" s="9"/>
    </row>
    <row r="12" spans="3:30" ht="15.75">
      <c r="C12" s="831" t="s">
        <v>837</v>
      </c>
      <c r="D12" s="831"/>
      <c r="E12" s="832"/>
      <c r="F12" s="9"/>
      <c r="G12" s="9"/>
      <c r="T12" s="9"/>
      <c r="U12" s="9"/>
      <c r="V12" s="9"/>
      <c r="W12" s="9"/>
      <c r="X12" s="9"/>
      <c r="Y12" s="9"/>
      <c r="Z12" s="9"/>
      <c r="AA12" s="9"/>
      <c r="AB12" s="9"/>
      <c r="AC12" s="9"/>
      <c r="AD12" s="9"/>
    </row>
    <row r="13" spans="3:30" ht="15.75">
      <c r="C13" s="831" t="s">
        <v>838</v>
      </c>
      <c r="D13" s="831"/>
      <c r="E13" s="832"/>
      <c r="F13" s="9"/>
      <c r="G13" s="9"/>
      <c r="T13" s="9"/>
      <c r="U13" s="9"/>
      <c r="V13" s="9"/>
      <c r="W13" s="9"/>
      <c r="X13" s="9"/>
      <c r="Y13" s="9"/>
      <c r="Z13" s="9"/>
      <c r="AA13" s="9"/>
      <c r="AB13" s="9"/>
      <c r="AC13" s="9"/>
      <c r="AD13" s="9"/>
    </row>
    <row r="14" spans="3:30" ht="15.75">
      <c r="C14" s="831" t="s">
        <v>839</v>
      </c>
      <c r="D14" s="831"/>
      <c r="E14" s="832"/>
      <c r="F14" s="9"/>
      <c r="G14" s="9"/>
      <c r="T14" s="9"/>
      <c r="U14" s="9"/>
      <c r="V14" s="9"/>
      <c r="W14" s="9"/>
      <c r="X14" s="9"/>
      <c r="Y14" s="9"/>
      <c r="Z14" s="9"/>
      <c r="AA14" s="9"/>
      <c r="AB14" s="9"/>
      <c r="AC14" s="9"/>
      <c r="AD14" s="9"/>
    </row>
    <row r="15" spans="3:30" ht="15.75">
      <c r="C15" s="831" t="s">
        <v>840</v>
      </c>
      <c r="D15" s="831"/>
      <c r="E15" s="832"/>
      <c r="F15" s="9"/>
      <c r="G15" s="9"/>
      <c r="T15" s="9"/>
      <c r="U15" s="9"/>
      <c r="V15" s="9"/>
      <c r="W15" s="9"/>
      <c r="X15" s="9"/>
      <c r="Y15" s="9"/>
      <c r="Z15" s="9"/>
      <c r="AA15" s="9"/>
      <c r="AB15" s="9"/>
      <c r="AC15" s="9"/>
      <c r="AD15" s="9"/>
    </row>
    <row r="16" spans="3:30" ht="15.75">
      <c r="C16" s="831" t="s">
        <v>841</v>
      </c>
      <c r="D16" s="831"/>
      <c r="E16" s="832"/>
      <c r="F16" s="9"/>
      <c r="G16" s="9"/>
      <c r="T16" s="9"/>
      <c r="U16" s="9"/>
      <c r="V16" s="9"/>
      <c r="W16" s="9"/>
      <c r="X16" s="9"/>
      <c r="Y16" s="9"/>
      <c r="Z16" s="9"/>
      <c r="AA16" s="9"/>
      <c r="AB16" s="9"/>
      <c r="AC16" s="9"/>
      <c r="AD16" s="9"/>
    </row>
    <row r="17" spans="3:30" ht="15.75">
      <c r="C17" s="831" t="s">
        <v>842</v>
      </c>
      <c r="D17" s="831"/>
      <c r="E17" s="832"/>
      <c r="F17" s="9"/>
      <c r="G17" s="9"/>
      <c r="T17" s="9"/>
      <c r="U17" s="9"/>
      <c r="V17" s="9"/>
      <c r="W17" s="9"/>
      <c r="X17" s="9"/>
      <c r="Y17" s="9"/>
      <c r="Z17" s="9"/>
      <c r="AA17" s="9"/>
      <c r="AB17" s="9"/>
      <c r="AC17" s="9"/>
      <c r="AD17" s="9"/>
    </row>
    <row r="18" spans="3:30" ht="15.75">
      <c r="C18" s="831" t="s">
        <v>843</v>
      </c>
      <c r="D18" s="831"/>
      <c r="E18" s="832"/>
      <c r="F18" s="9"/>
      <c r="G18" s="9"/>
      <c r="T18" s="9"/>
      <c r="U18" s="9"/>
      <c r="V18" s="9"/>
      <c r="W18" s="9"/>
      <c r="X18" s="9"/>
      <c r="Y18" s="9"/>
      <c r="Z18" s="9"/>
      <c r="AA18" s="9"/>
      <c r="AB18" s="9"/>
      <c r="AC18" s="9"/>
      <c r="AD18" s="9"/>
    </row>
    <row r="19" spans="3:30" ht="15.75">
      <c r="C19" s="831" t="s">
        <v>844</v>
      </c>
      <c r="D19" s="831"/>
      <c r="E19" s="832"/>
      <c r="F19" s="9"/>
      <c r="G19" s="9"/>
      <c r="T19" s="9"/>
      <c r="U19" s="9"/>
      <c r="V19" s="9"/>
      <c r="W19" s="9"/>
      <c r="X19" s="9"/>
      <c r="Y19" s="9"/>
      <c r="Z19" s="9"/>
      <c r="AA19" s="9"/>
      <c r="AB19" s="9"/>
      <c r="AC19" s="9"/>
      <c r="AD19" s="9"/>
    </row>
    <row r="20" spans="3:30" ht="15.75">
      <c r="C20" s="831" t="s">
        <v>845</v>
      </c>
      <c r="D20" s="831"/>
      <c r="E20" s="832"/>
      <c r="F20" s="9"/>
      <c r="G20" s="9"/>
      <c r="T20" s="9"/>
      <c r="U20" s="9"/>
      <c r="V20" s="9"/>
      <c r="W20" s="9"/>
      <c r="X20" s="9"/>
      <c r="Y20" s="9"/>
      <c r="Z20" s="9"/>
      <c r="AA20" s="9"/>
      <c r="AB20" s="9"/>
      <c r="AC20" s="9"/>
      <c r="AD20" s="9"/>
    </row>
    <row r="21" spans="3:30" ht="15.75">
      <c r="C21" s="831" t="s">
        <v>846</v>
      </c>
      <c r="D21" s="831"/>
      <c r="E21" s="832"/>
      <c r="F21" s="9"/>
      <c r="G21" s="9"/>
      <c r="T21" s="9"/>
      <c r="U21" s="9"/>
      <c r="V21" s="9"/>
      <c r="W21" s="9"/>
      <c r="X21" s="9"/>
      <c r="Y21" s="9"/>
      <c r="Z21" s="9"/>
      <c r="AA21" s="9"/>
      <c r="AB21" s="9"/>
      <c r="AC21" s="9"/>
      <c r="AD21" s="9"/>
    </row>
    <row r="22" spans="3:30" ht="15.75">
      <c r="C22" s="831" t="s">
        <v>847</v>
      </c>
      <c r="D22" s="831"/>
      <c r="E22" s="832"/>
      <c r="F22" s="9"/>
      <c r="G22" s="9"/>
      <c r="T22" s="9"/>
      <c r="U22" s="9"/>
      <c r="V22" s="9"/>
      <c r="W22" s="9"/>
      <c r="X22" s="9"/>
      <c r="Y22" s="9"/>
      <c r="Z22" s="9"/>
      <c r="AA22" s="9"/>
      <c r="AB22" s="9"/>
      <c r="AC22" s="9"/>
      <c r="AD22" s="9"/>
    </row>
    <row r="23" spans="3:5" ht="19.5" customHeight="1">
      <c r="C23" s="833" t="s">
        <v>848</v>
      </c>
      <c r="D23" s="834"/>
      <c r="E23" s="835"/>
    </row>
    <row r="24" spans="3:5" ht="30">
      <c r="C24" s="836" t="s">
        <v>849</v>
      </c>
      <c r="D24" s="836"/>
      <c r="E24" s="832"/>
    </row>
    <row r="25" spans="3:5" ht="45" customHeight="1">
      <c r="C25" s="836" t="s">
        <v>850</v>
      </c>
      <c r="D25" s="836"/>
      <c r="E25" s="832"/>
    </row>
    <row r="26" spans="3:5" ht="66" customHeight="1">
      <c r="C26" s="836" t="s">
        <v>851</v>
      </c>
      <c r="D26" s="836"/>
      <c r="E26" s="832"/>
    </row>
    <row r="27" spans="3:5" ht="15.75">
      <c r="C27" s="831" t="s">
        <v>852</v>
      </c>
      <c r="D27" s="831"/>
      <c r="E27" s="832"/>
    </row>
    <row r="28" spans="3:5" ht="19.5" customHeight="1">
      <c r="C28" s="831" t="s">
        <v>853</v>
      </c>
      <c r="D28" s="831"/>
      <c r="E28" s="832"/>
    </row>
    <row r="29" spans="3:5" ht="19.5" customHeight="1">
      <c r="C29" s="831" t="s">
        <v>854</v>
      </c>
      <c r="D29" s="831"/>
      <c r="E29" s="832"/>
    </row>
    <row r="30" spans="3:5" ht="30">
      <c r="C30" s="836" t="s">
        <v>855</v>
      </c>
      <c r="D30" s="836"/>
      <c r="E30" s="832"/>
    </row>
    <row r="31" spans="3:5" ht="15.75">
      <c r="C31" s="831" t="s">
        <v>856</v>
      </c>
      <c r="D31" s="831"/>
      <c r="E31" s="832"/>
    </row>
    <row r="32" spans="3:5" ht="15.75">
      <c r="C32" s="831" t="s">
        <v>857</v>
      </c>
      <c r="D32" s="831"/>
      <c r="E32" s="832"/>
    </row>
    <row r="33" spans="3:5" ht="15.75">
      <c r="C33" s="831" t="s">
        <v>479</v>
      </c>
      <c r="D33" s="831"/>
      <c r="E33" s="832"/>
    </row>
    <row r="34" spans="3:5" ht="15.75">
      <c r="C34" s="831" t="s">
        <v>858</v>
      </c>
      <c r="D34" s="831"/>
      <c r="E34" s="837">
        <v>40</v>
      </c>
    </row>
    <row r="99" spans="3:4" ht="15">
      <c r="C99" s="838" t="s">
        <v>859</v>
      </c>
      <c r="D99" s="838"/>
    </row>
    <row r="100" spans="3:4" ht="26.25">
      <c r="C100" s="838" t="s">
        <v>860</v>
      </c>
      <c r="D100" s="838"/>
    </row>
    <row r="101" spans="3:4" ht="15">
      <c r="C101" s="839"/>
      <c r="D101" s="839"/>
    </row>
    <row r="102" spans="3:5" ht="29.25">
      <c r="C102" s="26" t="s">
        <v>861</v>
      </c>
      <c r="D102" s="26"/>
      <c r="E102" s="26" t="s">
        <v>60</v>
      </c>
    </row>
    <row r="103" spans="3:5" ht="15">
      <c r="C103" s="26" t="s">
        <v>862</v>
      </c>
      <c r="D103" s="26"/>
      <c r="E103" s="26" t="s">
        <v>61</v>
      </c>
    </row>
    <row r="104" spans="3:5" ht="15">
      <c r="C104" s="27"/>
      <c r="D104" s="27"/>
      <c r="E104" s="28"/>
    </row>
    <row r="105" spans="3:5" ht="21">
      <c r="C105" s="29" t="s">
        <v>62</v>
      </c>
      <c r="D105" s="29"/>
      <c r="E105" s="30" t="s">
        <v>63</v>
      </c>
    </row>
    <row r="106" spans="3:5" ht="42.75">
      <c r="C106" s="31" t="s">
        <v>64</v>
      </c>
      <c r="D106" s="31" t="s">
        <v>65</v>
      </c>
      <c r="E106" s="30" t="s">
        <v>66</v>
      </c>
    </row>
    <row r="107" spans="3:5" ht="15">
      <c r="C107" s="27"/>
      <c r="D107" s="27"/>
      <c r="E107" s="30"/>
    </row>
    <row r="108" spans="3:5" ht="15">
      <c r="C108" s="34" t="s">
        <v>67</v>
      </c>
      <c r="D108" s="34"/>
      <c r="E108" s="30"/>
    </row>
    <row r="109" spans="3:5" ht="28.5">
      <c r="C109" s="31" t="s">
        <v>68</v>
      </c>
      <c r="D109" s="31"/>
      <c r="E109" s="39" t="s">
        <v>69</v>
      </c>
    </row>
    <row r="110" spans="3:5" ht="15">
      <c r="C110" s="31"/>
      <c r="D110" s="31"/>
      <c r="E110" s="37" t="s">
        <v>863</v>
      </c>
    </row>
    <row r="111" spans="3:5" ht="15">
      <c r="C111" s="31"/>
      <c r="D111" s="31"/>
      <c r="E111" s="30" t="s">
        <v>864</v>
      </c>
    </row>
    <row r="112" spans="3:5" ht="15">
      <c r="C112" s="31"/>
      <c r="D112" s="31"/>
      <c r="E112" s="39" t="s">
        <v>71</v>
      </c>
    </row>
    <row r="113" spans="3:5" ht="15">
      <c r="C113" s="36" t="s">
        <v>72</v>
      </c>
      <c r="D113" s="36"/>
      <c r="E113" s="30"/>
    </row>
    <row r="114" spans="3:5" ht="28.5">
      <c r="C114" s="37" t="s">
        <v>73</v>
      </c>
      <c r="D114" s="37"/>
      <c r="E114" s="39" t="s">
        <v>74</v>
      </c>
    </row>
    <row r="115" spans="3:4" ht="15">
      <c r="C115" s="37"/>
      <c r="D115" s="37"/>
    </row>
    <row r="116" spans="3:5" ht="15">
      <c r="C116" s="37" t="s">
        <v>75</v>
      </c>
      <c r="D116" s="37"/>
      <c r="E116" s="37" t="s">
        <v>76</v>
      </c>
    </row>
    <row r="117" spans="3:4" ht="15">
      <c r="C117" s="27"/>
      <c r="D117" s="27"/>
    </row>
    <row r="118" spans="3:5" ht="15">
      <c r="C118" s="34" t="s">
        <v>77</v>
      </c>
      <c r="D118" s="34"/>
      <c r="E118" s="30"/>
    </row>
    <row r="119" spans="3:5" ht="28.5">
      <c r="C119" s="31" t="s">
        <v>78</v>
      </c>
      <c r="D119" s="31"/>
      <c r="E119" s="39" t="s">
        <v>865</v>
      </c>
    </row>
    <row r="120" spans="3:4" ht="15">
      <c r="C120" s="31"/>
      <c r="D120" s="31"/>
    </row>
    <row r="121" spans="3:5" ht="15">
      <c r="C121" s="34" t="s">
        <v>79</v>
      </c>
      <c r="D121" s="34"/>
      <c r="E121" s="30"/>
    </row>
    <row r="122" spans="3:5" ht="15">
      <c r="C122" s="31" t="s">
        <v>80</v>
      </c>
      <c r="D122" s="31"/>
      <c r="E122" s="39" t="s">
        <v>81</v>
      </c>
    </row>
    <row r="123" spans="3:4" ht="15">
      <c r="C123" s="31"/>
      <c r="D123" s="31"/>
    </row>
    <row r="124" spans="3:5" ht="15">
      <c r="C124" s="31"/>
      <c r="D124" s="31"/>
      <c r="E124" s="37"/>
    </row>
    <row r="125" spans="3:5" ht="15">
      <c r="C125" s="27"/>
      <c r="D125" s="27"/>
      <c r="E125" s="30"/>
    </row>
    <row r="126" spans="3:5" ht="15">
      <c r="C126" s="34" t="s">
        <v>82</v>
      </c>
      <c r="D126" s="34"/>
      <c r="E126" s="30"/>
    </row>
    <row r="127" spans="3:5" ht="42.75">
      <c r="C127" s="31" t="s">
        <v>83</v>
      </c>
      <c r="D127" s="31"/>
      <c r="E127" s="39"/>
    </row>
    <row r="128" spans="3:5" ht="15">
      <c r="C128" s="31"/>
      <c r="D128" s="31"/>
      <c r="E128" s="39"/>
    </row>
    <row r="130" spans="3:4" ht="15">
      <c r="C130" s="840" t="s">
        <v>866</v>
      </c>
      <c r="D130" s="840"/>
    </row>
    <row r="131" spans="3:4" ht="15">
      <c r="C131" s="839" t="s">
        <v>867</v>
      </c>
      <c r="D131" s="839"/>
    </row>
    <row r="132" spans="3:4" ht="51.75">
      <c r="C132" s="841" t="s">
        <v>868</v>
      </c>
      <c r="D132" s="841"/>
    </row>
    <row r="133" spans="3:4" ht="51.75">
      <c r="C133" s="841" t="s">
        <v>869</v>
      </c>
      <c r="D133" s="841"/>
    </row>
    <row r="134" spans="3:4" ht="64.5">
      <c r="C134" s="841" t="s">
        <v>870</v>
      </c>
      <c r="D134" s="841"/>
    </row>
    <row r="135" spans="3:4" ht="26.25">
      <c r="C135" s="842" t="s">
        <v>871</v>
      </c>
      <c r="D135" s="842"/>
    </row>
    <row r="136" spans="3:4" ht="39">
      <c r="C136" s="841" t="s">
        <v>872</v>
      </c>
      <c r="D136" s="841"/>
    </row>
    <row r="137" spans="3:4" ht="51.75">
      <c r="C137" s="841" t="s">
        <v>873</v>
      </c>
      <c r="D137" s="841"/>
    </row>
    <row r="138" spans="3:4" ht="115.5">
      <c r="C138" s="841" t="s">
        <v>874</v>
      </c>
      <c r="D138" s="841"/>
    </row>
    <row r="139" spans="3:4" ht="39">
      <c r="C139" s="841" t="s">
        <v>875</v>
      </c>
      <c r="D139" s="841"/>
    </row>
    <row r="140" spans="3:4" ht="64.5">
      <c r="C140" s="841" t="s">
        <v>876</v>
      </c>
      <c r="D140" s="841"/>
    </row>
    <row r="141" spans="3:4" ht="15">
      <c r="C141" s="843" t="s">
        <v>877</v>
      </c>
      <c r="D141" s="843"/>
    </row>
    <row r="142" spans="3:4" ht="15">
      <c r="C142" s="839" t="s">
        <v>878</v>
      </c>
      <c r="D142" s="839"/>
    </row>
    <row r="143" spans="3:4" ht="39">
      <c r="C143" s="842" t="s">
        <v>879</v>
      </c>
      <c r="D143" s="842"/>
    </row>
    <row r="144" spans="3:4" ht="26.25">
      <c r="C144" s="842" t="s">
        <v>880</v>
      </c>
      <c r="D144" s="842"/>
    </row>
    <row r="145" spans="3:4" ht="15">
      <c r="C145" s="839" t="s">
        <v>881</v>
      </c>
      <c r="D145" s="839"/>
    </row>
    <row r="147" spans="3:4" ht="15">
      <c r="C147" s="843" t="s">
        <v>882</v>
      </c>
      <c r="D147" s="843"/>
    </row>
    <row r="148" spans="3:4" ht="15">
      <c r="C148" s="839" t="s">
        <v>883</v>
      </c>
      <c r="D148" s="839"/>
    </row>
    <row r="150" spans="3:4" ht="15">
      <c r="C150" s="843" t="s">
        <v>884</v>
      </c>
      <c r="D150" s="843"/>
    </row>
    <row r="151" spans="3:4" ht="30" customHeight="1">
      <c r="C151" s="839" t="s">
        <v>885</v>
      </c>
      <c r="D151" s="839"/>
    </row>
    <row r="153" spans="3:4" ht="15">
      <c r="C153" s="843" t="s">
        <v>886</v>
      </c>
      <c r="D153" s="843"/>
    </row>
    <row r="154" spans="3:4" ht="15">
      <c r="C154" s="839" t="s">
        <v>887</v>
      </c>
      <c r="D154" s="839"/>
    </row>
    <row r="155" spans="3:4" ht="15">
      <c r="C155" s="842" t="s">
        <v>888</v>
      </c>
      <c r="D155" s="842"/>
    </row>
    <row r="156" spans="3:4" ht="15">
      <c r="C156" s="842" t="s">
        <v>889</v>
      </c>
      <c r="D156" s="842"/>
    </row>
    <row r="157" spans="3:4" ht="15">
      <c r="C157" s="842" t="s">
        <v>890</v>
      </c>
      <c r="D157" s="842"/>
    </row>
    <row r="158" spans="3:4" ht="15">
      <c r="C158" s="843" t="s">
        <v>891</v>
      </c>
      <c r="D158" s="843"/>
    </row>
    <row r="159" spans="3:4" ht="15">
      <c r="C159" s="839" t="s">
        <v>892</v>
      </c>
      <c r="D159" s="839"/>
    </row>
    <row r="161" spans="3:4" ht="15">
      <c r="C161" s="843" t="s">
        <v>893</v>
      </c>
      <c r="D161" s="843"/>
    </row>
    <row r="162" spans="3:4" ht="15">
      <c r="C162" s="839" t="s">
        <v>894</v>
      </c>
      <c r="D162" s="839"/>
    </row>
  </sheetData>
  <sheetProtection selectLockedCells="1" selectUnlockedCells="1"/>
  <hyperlinks>
    <hyperlink ref="C105" r:id="rId1" display="Income Tax deduction - Section 80C"/>
    <hyperlink ref="C141" r:id="rId2" display="Indian Income Tax deduction - Section 80D: (official page Indian Income Tax Act)"/>
    <hyperlink ref="C147" r:id="rId3" display="Indian Income Tax deduction - Section 80DD: (official page India Income Tax Act)"/>
    <hyperlink ref="C150" r:id="rId4" display="Indian Income Tax deduction - Section 24: (official page India Income Tax Act)"/>
    <hyperlink ref="C153" r:id="rId5" display="Indian Income Tax deduction - Section 80GG: (official page - India Income Tax Act)"/>
    <hyperlink ref="C158" r:id="rId6" display="Indian Income Tax deduction - Section 80E: (official page India Income Tax Act)"/>
    <hyperlink ref="C161" r:id="rId7" display="Indian Income Tax deduction - Section 80G: (official page India Income Tax Act)"/>
  </hyperlinks>
  <printOptions/>
  <pageMargins left="0.75" right="0.75" top="1" bottom="1"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DF39"/>
  <sheetViews>
    <sheetView showGridLines="0" zoomScalePageLayoutView="0" workbookViewId="0" topLeftCell="A36">
      <selection activeCell="A38" sqref="A38"/>
    </sheetView>
  </sheetViews>
  <sheetFormatPr defaultColWidth="9.140625" defaultRowHeight="15"/>
  <cols>
    <col min="1" max="1" width="12.00390625" style="844" customWidth="1"/>
    <col min="2" max="2" width="96.57421875" style="845" customWidth="1"/>
    <col min="3" max="109" width="0" style="845" hidden="1" customWidth="1"/>
    <col min="110" max="16384" width="9.140625" style="845" customWidth="1"/>
  </cols>
  <sheetData>
    <row r="1" ht="15" hidden="1"/>
    <row r="2" spans="1:108" s="846" customFormat="1" ht="15" hidden="1">
      <c r="A2" s="844"/>
      <c r="G2" s="846">
        <v>1</v>
      </c>
      <c r="H2" s="846">
        <v>2</v>
      </c>
      <c r="I2" s="846">
        <v>3</v>
      </c>
      <c r="J2" s="846">
        <v>4</v>
      </c>
      <c r="K2" s="846">
        <v>5</v>
      </c>
      <c r="L2" s="846">
        <v>6</v>
      </c>
      <c r="M2" s="846">
        <v>7</v>
      </c>
      <c r="Q2" s="846">
        <v>8</v>
      </c>
      <c r="R2" s="846">
        <v>9</v>
      </c>
      <c r="S2" s="846">
        <v>10</v>
      </c>
      <c r="T2" s="846">
        <v>11</v>
      </c>
      <c r="U2" s="846">
        <v>12</v>
      </c>
      <c r="V2" s="846">
        <v>13</v>
      </c>
      <c r="W2" s="846">
        <v>14</v>
      </c>
      <c r="X2" s="846">
        <v>15</v>
      </c>
      <c r="Y2" s="846">
        <v>16</v>
      </c>
      <c r="Z2" s="846">
        <v>17</v>
      </c>
      <c r="AA2" s="846">
        <v>18</v>
      </c>
      <c r="AB2" s="846">
        <v>19</v>
      </c>
      <c r="AC2" s="846">
        <v>20</v>
      </c>
      <c r="AD2" s="846">
        <v>21</v>
      </c>
      <c r="AE2" s="846">
        <v>22</v>
      </c>
      <c r="AF2" s="846">
        <v>23</v>
      </c>
      <c r="AG2" s="846">
        <v>24</v>
      </c>
      <c r="AH2" s="846">
        <v>25</v>
      </c>
      <c r="AI2" s="846">
        <v>26</v>
      </c>
      <c r="AJ2" s="846">
        <v>27</v>
      </c>
      <c r="AK2" s="846">
        <v>28</v>
      </c>
      <c r="AL2" s="846">
        <v>29</v>
      </c>
      <c r="AM2" s="846">
        <v>30</v>
      </c>
      <c r="AN2" s="846">
        <v>31</v>
      </c>
      <c r="AO2" s="846">
        <v>32</v>
      </c>
      <c r="AP2" s="846">
        <v>33</v>
      </c>
      <c r="AQ2" s="846">
        <v>34</v>
      </c>
      <c r="AR2" s="846">
        <v>35</v>
      </c>
      <c r="AS2" s="846">
        <v>36</v>
      </c>
      <c r="AT2" s="846">
        <v>37</v>
      </c>
      <c r="AU2" s="846">
        <v>38</v>
      </c>
      <c r="AV2" s="846">
        <v>39</v>
      </c>
      <c r="AW2" s="846">
        <v>40</v>
      </c>
      <c r="AX2" s="846">
        <v>41</v>
      </c>
      <c r="AY2" s="846">
        <v>42</v>
      </c>
      <c r="AZ2" s="846">
        <v>43</v>
      </c>
      <c r="BA2" s="846">
        <v>44</v>
      </c>
      <c r="BB2" s="846">
        <v>45</v>
      </c>
      <c r="BC2" s="846">
        <v>46</v>
      </c>
      <c r="BD2" s="846">
        <v>47</v>
      </c>
      <c r="BE2" s="846">
        <v>48</v>
      </c>
      <c r="BF2" s="846">
        <v>49</v>
      </c>
      <c r="BG2" s="846">
        <v>50</v>
      </c>
      <c r="BH2" s="846">
        <v>51</v>
      </c>
      <c r="BI2" s="846">
        <v>52</v>
      </c>
      <c r="BJ2" s="846">
        <v>53</v>
      </c>
      <c r="BK2" s="846">
        <v>54</v>
      </c>
      <c r="BL2" s="846">
        <v>55</v>
      </c>
      <c r="BM2" s="846">
        <v>56</v>
      </c>
      <c r="BN2" s="846">
        <v>57</v>
      </c>
      <c r="BO2" s="846">
        <v>58</v>
      </c>
      <c r="BP2" s="846">
        <v>59</v>
      </c>
      <c r="BQ2" s="846">
        <v>60</v>
      </c>
      <c r="BR2" s="846">
        <v>61</v>
      </c>
      <c r="BS2" s="846">
        <v>62</v>
      </c>
      <c r="BT2" s="846">
        <v>63</v>
      </c>
      <c r="BU2" s="846">
        <v>64</v>
      </c>
      <c r="BV2" s="846">
        <v>65</v>
      </c>
      <c r="BW2" s="846">
        <v>66</v>
      </c>
      <c r="BX2" s="846">
        <v>67</v>
      </c>
      <c r="BY2" s="846">
        <v>68</v>
      </c>
      <c r="BZ2" s="846">
        <v>69</v>
      </c>
      <c r="CA2" s="846">
        <v>70</v>
      </c>
      <c r="CB2" s="846">
        <v>71</v>
      </c>
      <c r="CC2" s="846">
        <v>72</v>
      </c>
      <c r="CD2" s="846">
        <v>73</v>
      </c>
      <c r="CE2" s="846">
        <v>74</v>
      </c>
      <c r="CF2" s="846">
        <v>75</v>
      </c>
      <c r="CG2" s="846">
        <v>76</v>
      </c>
      <c r="CH2" s="846">
        <v>77</v>
      </c>
      <c r="CI2" s="846">
        <v>78</v>
      </c>
      <c r="CJ2" s="846">
        <v>79</v>
      </c>
      <c r="CK2" s="846">
        <v>80</v>
      </c>
      <c r="CL2" s="846">
        <v>81</v>
      </c>
      <c r="CM2" s="846">
        <v>82</v>
      </c>
      <c r="CN2" s="846">
        <v>83</v>
      </c>
      <c r="CO2" s="846">
        <v>84</v>
      </c>
      <c r="CP2" s="846">
        <v>85</v>
      </c>
      <c r="CQ2" s="846">
        <v>86</v>
      </c>
      <c r="CR2" s="846">
        <v>87</v>
      </c>
      <c r="CS2" s="846">
        <v>88</v>
      </c>
      <c r="CT2" s="846">
        <v>89</v>
      </c>
      <c r="CU2" s="846">
        <v>90</v>
      </c>
      <c r="CV2" s="846">
        <v>91</v>
      </c>
      <c r="CW2" s="846">
        <v>92</v>
      </c>
      <c r="CX2" s="846">
        <v>93</v>
      </c>
      <c r="CY2" s="846">
        <v>94</v>
      </c>
      <c r="CZ2" s="846">
        <v>95</v>
      </c>
      <c r="DA2" s="846">
        <v>96</v>
      </c>
      <c r="DB2" s="846">
        <v>97</v>
      </c>
      <c r="DC2" s="846">
        <v>98</v>
      </c>
      <c r="DD2" s="846">
        <v>99</v>
      </c>
    </row>
    <row r="3" spans="1:108" s="846" customFormat="1" ht="15" hidden="1">
      <c r="A3" s="844"/>
      <c r="F3" s="846">
        <v>0</v>
      </c>
      <c r="G3" s="846" t="s">
        <v>611</v>
      </c>
      <c r="H3" s="846" t="s">
        <v>612</v>
      </c>
      <c r="I3" s="846" t="s">
        <v>613</v>
      </c>
      <c r="J3" s="846" t="s">
        <v>614</v>
      </c>
      <c r="K3" s="846" t="s">
        <v>615</v>
      </c>
      <c r="L3" s="846" t="s">
        <v>616</v>
      </c>
      <c r="M3" s="846" t="s">
        <v>617</v>
      </c>
      <c r="Q3" s="846" t="s">
        <v>618</v>
      </c>
      <c r="R3" s="846" t="s">
        <v>619</v>
      </c>
      <c r="S3" s="846" t="s">
        <v>620</v>
      </c>
      <c r="T3" s="846" t="s">
        <v>621</v>
      </c>
      <c r="U3" s="846" t="s">
        <v>622</v>
      </c>
      <c r="V3" s="846" t="s">
        <v>623</v>
      </c>
      <c r="W3" s="846" t="s">
        <v>624</v>
      </c>
      <c r="X3" s="846" t="s">
        <v>625</v>
      </c>
      <c r="Y3" s="846" t="s">
        <v>626</v>
      </c>
      <c r="Z3" s="846" t="s">
        <v>627</v>
      </c>
      <c r="AA3" s="846" t="s">
        <v>628</v>
      </c>
      <c r="AB3" s="846" t="s">
        <v>629</v>
      </c>
      <c r="AC3" s="846" t="s">
        <v>630</v>
      </c>
      <c r="AD3" s="846" t="s">
        <v>631</v>
      </c>
      <c r="AE3" s="846" t="s">
        <v>632</v>
      </c>
      <c r="AF3" s="846" t="s">
        <v>633</v>
      </c>
      <c r="AG3" s="846" t="s">
        <v>634</v>
      </c>
      <c r="AH3" s="846" t="s">
        <v>635</v>
      </c>
      <c r="AI3" s="846" t="s">
        <v>636</v>
      </c>
      <c r="AJ3" s="846" t="s">
        <v>637</v>
      </c>
      <c r="AK3" s="846" t="s">
        <v>638</v>
      </c>
      <c r="AL3" s="846" t="s">
        <v>639</v>
      </c>
      <c r="AM3" s="846" t="s">
        <v>640</v>
      </c>
      <c r="AN3" s="846" t="s">
        <v>641</v>
      </c>
      <c r="AO3" s="846" t="s">
        <v>642</v>
      </c>
      <c r="AP3" s="846" t="s">
        <v>643</v>
      </c>
      <c r="AQ3" s="846" t="s">
        <v>644</v>
      </c>
      <c r="AR3" s="846" t="s">
        <v>645</v>
      </c>
      <c r="AS3" s="846" t="s">
        <v>646</v>
      </c>
      <c r="AT3" s="846" t="s">
        <v>647</v>
      </c>
      <c r="AU3" s="846" t="s">
        <v>648</v>
      </c>
      <c r="AV3" s="846" t="s">
        <v>649</v>
      </c>
      <c r="AW3" s="846" t="s">
        <v>650</v>
      </c>
      <c r="AX3" s="846" t="s">
        <v>651</v>
      </c>
      <c r="AY3" s="846" t="s">
        <v>652</v>
      </c>
      <c r="AZ3" s="846" t="s">
        <v>653</v>
      </c>
      <c r="BA3" s="846" t="s">
        <v>654</v>
      </c>
      <c r="BB3" s="846" t="s">
        <v>655</v>
      </c>
      <c r="BC3" s="846" t="s">
        <v>656</v>
      </c>
      <c r="BD3" s="846" t="s">
        <v>657</v>
      </c>
      <c r="BE3" s="846" t="s">
        <v>658</v>
      </c>
      <c r="BF3" s="846" t="s">
        <v>659</v>
      </c>
      <c r="BG3" s="846" t="s">
        <v>660</v>
      </c>
      <c r="BH3" s="846" t="s">
        <v>661</v>
      </c>
      <c r="BI3" s="846" t="s">
        <v>662</v>
      </c>
      <c r="BJ3" s="846" t="s">
        <v>663</v>
      </c>
      <c r="BK3" s="846" t="s">
        <v>664</v>
      </c>
      <c r="BL3" s="846" t="s">
        <v>665</v>
      </c>
      <c r="BM3" s="846" t="s">
        <v>666</v>
      </c>
      <c r="BN3" s="846" t="s">
        <v>667</v>
      </c>
      <c r="BO3" s="846" t="s">
        <v>668</v>
      </c>
      <c r="BP3" s="846" t="s">
        <v>669</v>
      </c>
      <c r="BQ3" s="846" t="s">
        <v>670</v>
      </c>
      <c r="BR3" s="846" t="s">
        <v>671</v>
      </c>
      <c r="BS3" s="846" t="s">
        <v>672</v>
      </c>
      <c r="BT3" s="846" t="s">
        <v>673</v>
      </c>
      <c r="BU3" s="846" t="s">
        <v>674</v>
      </c>
      <c r="BV3" s="846" t="s">
        <v>675</v>
      </c>
      <c r="BW3" s="846" t="s">
        <v>676</v>
      </c>
      <c r="BX3" s="846" t="s">
        <v>677</v>
      </c>
      <c r="BY3" s="846" t="s">
        <v>678</v>
      </c>
      <c r="BZ3" s="846" t="s">
        <v>679</v>
      </c>
      <c r="CA3" s="846" t="s">
        <v>680</v>
      </c>
      <c r="CB3" s="846" t="s">
        <v>681</v>
      </c>
      <c r="CC3" s="846" t="s">
        <v>682</v>
      </c>
      <c r="CD3" s="846" t="s">
        <v>683</v>
      </c>
      <c r="CE3" s="846" t="s">
        <v>684</v>
      </c>
      <c r="CF3" s="846" t="s">
        <v>685</v>
      </c>
      <c r="CG3" s="846" t="s">
        <v>686</v>
      </c>
      <c r="CH3" s="846" t="s">
        <v>687</v>
      </c>
      <c r="CI3" s="846" t="s">
        <v>688</v>
      </c>
      <c r="CJ3" s="846" t="s">
        <v>689</v>
      </c>
      <c r="CK3" s="846" t="s">
        <v>690</v>
      </c>
      <c r="CL3" s="846" t="s">
        <v>691</v>
      </c>
      <c r="CM3" s="846" t="s">
        <v>692</v>
      </c>
      <c r="CN3" s="846" t="s">
        <v>693</v>
      </c>
      <c r="CO3" s="846" t="s">
        <v>694</v>
      </c>
      <c r="CP3" s="846" t="s">
        <v>695</v>
      </c>
      <c r="CQ3" s="846" t="s">
        <v>696</v>
      </c>
      <c r="CR3" s="846" t="s">
        <v>697</v>
      </c>
      <c r="CS3" s="846" t="s">
        <v>698</v>
      </c>
      <c r="CT3" s="846" t="s">
        <v>699</v>
      </c>
      <c r="CU3" s="846" t="s">
        <v>700</v>
      </c>
      <c r="CV3" s="846" t="s">
        <v>701</v>
      </c>
      <c r="CW3" s="846" t="s">
        <v>702</v>
      </c>
      <c r="CX3" s="846" t="s">
        <v>703</v>
      </c>
      <c r="CY3" s="846" t="s">
        <v>704</v>
      </c>
      <c r="CZ3" s="846" t="s">
        <v>705</v>
      </c>
      <c r="DA3" s="846" t="s">
        <v>706</v>
      </c>
      <c r="DB3" s="846" t="s">
        <v>707</v>
      </c>
      <c r="DC3" s="846" t="s">
        <v>708</v>
      </c>
      <c r="DD3" s="846" t="s">
        <v>709</v>
      </c>
    </row>
    <row r="4" ht="15" hidden="1"/>
    <row r="5" ht="15" hidden="1"/>
    <row r="6" ht="15" hidden="1"/>
    <row r="7" ht="15" hidden="1"/>
    <row r="8" ht="15" hidden="1"/>
    <row r="9" ht="15" hidden="1"/>
    <row r="10" ht="15" hidden="1"/>
    <row r="11" ht="15" hidden="1"/>
    <row r="12" ht="15" hidden="1"/>
    <row r="13" spans="1:2" ht="35.25" customHeight="1" hidden="1">
      <c r="A13" s="1102"/>
      <c r="B13" s="1102"/>
    </row>
    <row r="14" spans="1:2" s="849" customFormat="1" ht="2.25" customHeight="1" hidden="1">
      <c r="A14" s="847"/>
      <c r="B14" s="848"/>
    </row>
    <row r="15" spans="1:110" ht="38.25" customHeight="1">
      <c r="A15" s="850" t="s">
        <v>710</v>
      </c>
      <c r="B15" s="851" t="s">
        <v>711</v>
      </c>
      <c r="C15" s="852" t="s">
        <v>895</v>
      </c>
      <c r="D15" s="853" t="s">
        <v>896</v>
      </c>
      <c r="E15" s="853" t="s">
        <v>897</v>
      </c>
      <c r="F15" s="853" t="s">
        <v>898</v>
      </c>
      <c r="G15" s="853" t="s">
        <v>899</v>
      </c>
      <c r="H15" s="853" t="s">
        <v>900</v>
      </c>
      <c r="I15" s="853" t="s">
        <v>901</v>
      </c>
      <c r="J15" s="853" t="s">
        <v>902</v>
      </c>
      <c r="K15" s="853" t="s">
        <v>903</v>
      </c>
      <c r="L15" s="853" t="s">
        <v>904</v>
      </c>
      <c r="M15" s="853" t="s">
        <v>905</v>
      </c>
      <c r="N15" s="853" t="s">
        <v>906</v>
      </c>
      <c r="O15" s="853" t="s">
        <v>907</v>
      </c>
      <c r="P15" s="853" t="s">
        <v>908</v>
      </c>
      <c r="Q15" s="853" t="s">
        <v>909</v>
      </c>
      <c r="R15" s="854"/>
      <c r="S15" s="854"/>
      <c r="T15" s="854"/>
      <c r="U15" s="854"/>
      <c r="V15" s="854"/>
      <c r="W15" s="854"/>
      <c r="X15" s="854"/>
      <c r="Y15" s="854"/>
      <c r="Z15" s="854"/>
      <c r="AA15" s="854"/>
      <c r="AB15" s="854"/>
      <c r="AC15" s="854"/>
      <c r="AD15" s="854"/>
      <c r="AE15" s="854"/>
      <c r="AF15" s="854"/>
      <c r="AG15" s="854"/>
      <c r="AH15" s="854"/>
      <c r="AI15" s="854"/>
      <c r="AJ15" s="854"/>
      <c r="AK15" s="854"/>
      <c r="AL15" s="854"/>
      <c r="AM15" s="854"/>
      <c r="AN15" s="854"/>
      <c r="AO15" s="854"/>
      <c r="AP15" s="854"/>
      <c r="AQ15" s="854"/>
      <c r="AR15" s="854"/>
      <c r="AS15" s="854"/>
      <c r="AT15" s="854"/>
      <c r="AU15" s="854"/>
      <c r="AV15" s="854"/>
      <c r="AW15" s="854"/>
      <c r="AX15" s="854"/>
      <c r="AY15" s="854"/>
      <c r="AZ15" s="854"/>
      <c r="BA15" s="854"/>
      <c r="BB15" s="854"/>
      <c r="BC15" s="854"/>
      <c r="BD15" s="854"/>
      <c r="BE15" s="854"/>
      <c r="BF15" s="854"/>
      <c r="BG15" s="854"/>
      <c r="BH15" s="854"/>
      <c r="BI15" s="854"/>
      <c r="BJ15" s="854"/>
      <c r="BK15" s="854"/>
      <c r="BL15" s="854"/>
      <c r="BM15" s="854"/>
      <c r="BN15" s="854"/>
      <c r="BO15" s="854"/>
      <c r="BP15" s="854"/>
      <c r="BQ15" s="854"/>
      <c r="BR15" s="854"/>
      <c r="BS15" s="854"/>
      <c r="BT15" s="854"/>
      <c r="BU15" s="854"/>
      <c r="BV15" s="854"/>
      <c r="BW15" s="854"/>
      <c r="BX15" s="854"/>
      <c r="BY15" s="854"/>
      <c r="BZ15" s="854"/>
      <c r="CA15" s="854"/>
      <c r="CB15" s="854"/>
      <c r="CC15" s="854"/>
      <c r="CD15" s="854"/>
      <c r="CE15" s="854"/>
      <c r="CF15" s="854"/>
      <c r="CG15" s="854"/>
      <c r="CH15" s="854"/>
      <c r="CI15" s="854"/>
      <c r="CJ15" s="854"/>
      <c r="CK15" s="854"/>
      <c r="CL15" s="854"/>
      <c r="CM15" s="854"/>
      <c r="CN15" s="854"/>
      <c r="CO15" s="854"/>
      <c r="CP15" s="854"/>
      <c r="CQ15" s="854"/>
      <c r="CR15" s="854"/>
      <c r="CS15" s="854"/>
      <c r="CT15" s="854"/>
      <c r="CU15" s="854"/>
      <c r="CV15" s="854"/>
      <c r="CW15" s="854"/>
      <c r="CX15" s="854"/>
      <c r="CY15" s="854"/>
      <c r="CZ15" s="854"/>
      <c r="DA15" s="854"/>
      <c r="DB15" s="854"/>
      <c r="DC15" s="854"/>
      <c r="DD15" s="854"/>
      <c r="DE15" s="854"/>
      <c r="DF15" s="854"/>
    </row>
    <row r="16" spans="1:110" ht="30" customHeight="1">
      <c r="A16" s="855">
        <v>23</v>
      </c>
      <c r="B16" s="856" t="str">
        <f aca="true" t="shared" si="0" ref="B16:B39">IF(A16="","",CONCATENATE("(",Q16," rupees only)"))</f>
        <v>(Twenty three rupees only)</v>
      </c>
      <c r="C16" s="857">
        <f>INT(A16/100000)</f>
        <v>0</v>
      </c>
      <c r="D16" s="858">
        <f>INT(A16/1000-C16*100)</f>
        <v>0</v>
      </c>
      <c r="E16" s="858">
        <f>INT(A16/100-C16*1000-D16*10)</f>
        <v>0</v>
      </c>
      <c r="F16" s="858">
        <f>INT(A16-C16*100000-D16*1000-E16*100)</f>
        <v>23</v>
      </c>
      <c r="G16" s="858">
        <f>IF(C16=0,"",LOOKUP(C16,$G$2:$DD$2,$G$3:$DD$3))</f>
      </c>
      <c r="H16" s="858">
        <f>IF(D16=0,"",LOOKUP(D16,$G$2:$DD$2,$G$3:$DD$3))</f>
      </c>
      <c r="I16" s="858">
        <f>IF(E16=0,"",LOOKUP(E16,$G$2:$R$2,$G$3:$R$3))</f>
      </c>
      <c r="J16" s="858" t="str">
        <f>IF(F16=0,"",LOOKUP(F16,$G$2:$DD$2,$G$3:$DD$3))</f>
        <v>Twenty three</v>
      </c>
      <c r="K16" s="858">
        <f>IF(AND(E16=0,F16=0),1,2)</f>
        <v>2</v>
      </c>
      <c r="L16" s="858">
        <f>IF(F16=0,3,4)</f>
        <v>4</v>
      </c>
      <c r="M16" s="858">
        <f>IF(OR(K16=1,L16=3),5,6)</f>
        <v>6</v>
      </c>
      <c r="N16" s="858">
        <f>IF(C16&gt;1," Lakhs ",IF(C16&gt;0," Lakh ",""))</f>
      </c>
      <c r="O16" s="858">
        <f>IF(D16&gt;0," Thousand ","")</f>
      </c>
      <c r="P16" s="858">
        <f>IF(E16&gt;0," Hundred ","")</f>
      </c>
      <c r="Q16" s="858" t="str">
        <f>IF(A16=0,"Zero",IF(A16&gt;0,TRIM(CONCATENATE(G16,N16,H16,O16,I16,P16,IF(AND(A16&gt;100,M16=6)," and ",""),J16)),""))</f>
        <v>Twenty three</v>
      </c>
      <c r="R16" s="854"/>
      <c r="S16" s="854"/>
      <c r="T16" s="854"/>
      <c r="U16" s="854"/>
      <c r="V16" s="854"/>
      <c r="W16" s="854"/>
      <c r="X16" s="854"/>
      <c r="Y16" s="854"/>
      <c r="Z16" s="854"/>
      <c r="AA16" s="854"/>
      <c r="AB16" s="854"/>
      <c r="AC16" s="854"/>
      <c r="AD16" s="854"/>
      <c r="AE16" s="854"/>
      <c r="AF16" s="854"/>
      <c r="AG16" s="854"/>
      <c r="AH16" s="854"/>
      <c r="AI16" s="854"/>
      <c r="AJ16" s="854"/>
      <c r="AK16" s="854"/>
      <c r="AL16" s="854"/>
      <c r="AM16" s="854"/>
      <c r="AN16" s="854"/>
      <c r="AO16" s="854"/>
      <c r="AP16" s="854"/>
      <c r="AQ16" s="854"/>
      <c r="AR16" s="854"/>
      <c r="AS16" s="854"/>
      <c r="AT16" s="854"/>
      <c r="AU16" s="854"/>
      <c r="AV16" s="854"/>
      <c r="AW16" s="854"/>
      <c r="AX16" s="854"/>
      <c r="AY16" s="854"/>
      <c r="AZ16" s="854"/>
      <c r="BA16" s="854"/>
      <c r="BB16" s="854"/>
      <c r="BC16" s="854"/>
      <c r="BD16" s="854"/>
      <c r="BE16" s="854"/>
      <c r="BF16" s="854"/>
      <c r="BG16" s="854"/>
      <c r="BH16" s="854"/>
      <c r="BI16" s="854"/>
      <c r="BJ16" s="854"/>
      <c r="BK16" s="854"/>
      <c r="BL16" s="854"/>
      <c r="BM16" s="854"/>
      <c r="BN16" s="854"/>
      <c r="BO16" s="854"/>
      <c r="BP16" s="854"/>
      <c r="BQ16" s="854"/>
      <c r="BR16" s="854"/>
      <c r="BS16" s="854"/>
      <c r="BT16" s="854"/>
      <c r="BU16" s="854"/>
      <c r="BV16" s="854"/>
      <c r="BW16" s="854"/>
      <c r="BX16" s="854"/>
      <c r="BY16" s="854"/>
      <c r="BZ16" s="854"/>
      <c r="CA16" s="854"/>
      <c r="CB16" s="854"/>
      <c r="CC16" s="854"/>
      <c r="CD16" s="854"/>
      <c r="CE16" s="854"/>
      <c r="CF16" s="854"/>
      <c r="CG16" s="854"/>
      <c r="CH16" s="854"/>
      <c r="CI16" s="854"/>
      <c r="CJ16" s="854"/>
      <c r="CK16" s="854"/>
      <c r="CL16" s="854"/>
      <c r="CM16" s="854"/>
      <c r="CN16" s="854"/>
      <c r="CO16" s="854"/>
      <c r="CP16" s="854"/>
      <c r="CQ16" s="854"/>
      <c r="CR16" s="854"/>
      <c r="CS16" s="854"/>
      <c r="CT16" s="854"/>
      <c r="CU16" s="854"/>
      <c r="CV16" s="854"/>
      <c r="CW16" s="854"/>
      <c r="CX16" s="854"/>
      <c r="CY16" s="854"/>
      <c r="CZ16" s="854"/>
      <c r="DA16" s="854"/>
      <c r="DB16" s="854"/>
      <c r="DC16" s="854"/>
      <c r="DD16" s="854"/>
      <c r="DE16" s="854"/>
      <c r="DF16" s="854"/>
    </row>
    <row r="17" spans="1:110" ht="23.25">
      <c r="A17" s="855">
        <v>43440</v>
      </c>
      <c r="B17" s="856" t="str">
        <f t="shared" si="0"/>
        <v>(Forty three Thousand Four Hundred and Forty rupees only)</v>
      </c>
      <c r="C17" s="857">
        <f aca="true" t="shared" si="1" ref="C17:C39">INT(A17/100000)</f>
        <v>0</v>
      </c>
      <c r="D17" s="858">
        <f aca="true" t="shared" si="2" ref="D17:D39">INT(A17/1000-C17*100)</f>
        <v>43</v>
      </c>
      <c r="E17" s="858">
        <f aca="true" t="shared" si="3" ref="E17:E39">INT(A17/100-C17*1000-D17*10)</f>
        <v>4</v>
      </c>
      <c r="F17" s="858">
        <f aca="true" t="shared" si="4" ref="F17:F39">INT(A17-C17*100000-D17*1000-E17*100)</f>
        <v>40</v>
      </c>
      <c r="G17" s="858">
        <f aca="true" t="shared" si="5" ref="G17:H39">IF(C17=0,"",LOOKUP(C17,$G$2:$DD$2,$G$3:$DD$3))</f>
      </c>
      <c r="H17" s="858" t="str">
        <f t="shared" si="5"/>
        <v>Forty three</v>
      </c>
      <c r="I17" s="858" t="str">
        <f aca="true" t="shared" si="6" ref="I17:I39">IF(E17=0,"",LOOKUP(E17,$G$2:$R$2,$G$3:$R$3))</f>
        <v>Four</v>
      </c>
      <c r="J17" s="858" t="str">
        <f aca="true" t="shared" si="7" ref="J17:J39">IF(F17=0,"",LOOKUP(F17,$G$2:$DD$2,$G$3:$DD$3))</f>
        <v>Forty </v>
      </c>
      <c r="K17" s="858">
        <f aca="true" t="shared" si="8" ref="K17:K39">IF(AND(E17=0,F17=0),1,2)</f>
        <v>2</v>
      </c>
      <c r="L17" s="858">
        <f aca="true" t="shared" si="9" ref="L17:L39">IF(F17=0,3,4)</f>
        <v>4</v>
      </c>
      <c r="M17" s="858">
        <f aca="true" t="shared" si="10" ref="M17:M39">IF(OR(K17=1,L17=3),5,6)</f>
        <v>6</v>
      </c>
      <c r="N17" s="858">
        <f aca="true" t="shared" si="11" ref="N17:N39">IF(C17&gt;1," Lakhs ",IF(C17&gt;0," Lakh ",""))</f>
      </c>
      <c r="O17" s="858" t="str">
        <f aca="true" t="shared" si="12" ref="O17:O39">IF(D17&gt;0," Thousand ","")</f>
        <v> Thousand </v>
      </c>
      <c r="P17" s="858" t="str">
        <f aca="true" t="shared" si="13" ref="P17:P39">IF(E17&gt;0," Hundred ","")</f>
        <v> Hundred </v>
      </c>
      <c r="Q17" s="858" t="str">
        <f aca="true" t="shared" si="14" ref="Q17:Q39">IF(A17=0,"Zero",IF(A17&gt;0,TRIM(CONCATENATE(G17,N17,H17,O17,I17,P17,IF(AND(A17&gt;100,M17=6)," and ",""),J17)),""))</f>
        <v>Forty three Thousand Four Hundred and Forty</v>
      </c>
      <c r="R17" s="854"/>
      <c r="S17" s="854"/>
      <c r="T17" s="854"/>
      <c r="U17" s="854"/>
      <c r="V17" s="854"/>
      <c r="W17" s="854"/>
      <c r="X17" s="854"/>
      <c r="Y17" s="854"/>
      <c r="Z17" s="854"/>
      <c r="AA17" s="854"/>
      <c r="AB17" s="854"/>
      <c r="AC17" s="854"/>
      <c r="AD17" s="854"/>
      <c r="AE17" s="854"/>
      <c r="AF17" s="854"/>
      <c r="AG17" s="854"/>
      <c r="AH17" s="854"/>
      <c r="AI17" s="854"/>
      <c r="AJ17" s="854"/>
      <c r="AK17" s="854"/>
      <c r="AL17" s="854"/>
      <c r="AM17" s="854"/>
      <c r="AN17" s="854"/>
      <c r="AO17" s="854"/>
      <c r="AP17" s="854"/>
      <c r="AQ17" s="854"/>
      <c r="AR17" s="854"/>
      <c r="AS17" s="854"/>
      <c r="AT17" s="854"/>
      <c r="AU17" s="854"/>
      <c r="AV17" s="854"/>
      <c r="AW17" s="854"/>
      <c r="AX17" s="854"/>
      <c r="AY17" s="854"/>
      <c r="AZ17" s="854"/>
      <c r="BA17" s="854"/>
      <c r="BB17" s="854"/>
      <c r="BC17" s="854"/>
      <c r="BD17" s="854"/>
      <c r="BE17" s="854"/>
      <c r="BF17" s="854"/>
      <c r="BG17" s="854"/>
      <c r="BH17" s="854"/>
      <c r="BI17" s="854"/>
      <c r="BJ17" s="854"/>
      <c r="BK17" s="854"/>
      <c r="BL17" s="854"/>
      <c r="BM17" s="854"/>
      <c r="BN17" s="854"/>
      <c r="BO17" s="854"/>
      <c r="BP17" s="854"/>
      <c r="BQ17" s="854"/>
      <c r="BR17" s="854"/>
      <c r="BS17" s="854"/>
      <c r="BT17" s="854"/>
      <c r="BU17" s="854"/>
      <c r="BV17" s="854"/>
      <c r="BW17" s="854"/>
      <c r="BX17" s="854"/>
      <c r="BY17" s="854"/>
      <c r="BZ17" s="854"/>
      <c r="CA17" s="854"/>
      <c r="CB17" s="854"/>
      <c r="CC17" s="854"/>
      <c r="CD17" s="854"/>
      <c r="CE17" s="854"/>
      <c r="CF17" s="854"/>
      <c r="CG17" s="854"/>
      <c r="CH17" s="854"/>
      <c r="CI17" s="854"/>
      <c r="CJ17" s="854"/>
      <c r="CK17" s="854"/>
      <c r="CL17" s="854"/>
      <c r="CM17" s="854"/>
      <c r="CN17" s="854"/>
      <c r="CO17" s="854"/>
      <c r="CP17" s="854"/>
      <c r="CQ17" s="854"/>
      <c r="CR17" s="854"/>
      <c r="CS17" s="854"/>
      <c r="CT17" s="854"/>
      <c r="CU17" s="854"/>
      <c r="CV17" s="854"/>
      <c r="CW17" s="854"/>
      <c r="CX17" s="854"/>
      <c r="CY17" s="854"/>
      <c r="CZ17" s="854"/>
      <c r="DA17" s="854"/>
      <c r="DB17" s="854"/>
      <c r="DC17" s="854"/>
      <c r="DD17" s="854"/>
      <c r="DE17" s="854"/>
      <c r="DF17" s="854"/>
    </row>
    <row r="18" spans="1:110" ht="23.25">
      <c r="A18" s="855">
        <v>25</v>
      </c>
      <c r="B18" s="856" t="str">
        <f t="shared" si="0"/>
        <v>(Twenty five rupees only)</v>
      </c>
      <c r="C18" s="857">
        <f t="shared" si="1"/>
        <v>0</v>
      </c>
      <c r="D18" s="858">
        <f t="shared" si="2"/>
        <v>0</v>
      </c>
      <c r="E18" s="858">
        <f t="shared" si="3"/>
        <v>0</v>
      </c>
      <c r="F18" s="858">
        <f t="shared" si="4"/>
        <v>25</v>
      </c>
      <c r="G18" s="858">
        <f t="shared" si="5"/>
      </c>
      <c r="H18" s="858">
        <f t="shared" si="5"/>
      </c>
      <c r="I18" s="858">
        <f t="shared" si="6"/>
      </c>
      <c r="J18" s="858" t="str">
        <f t="shared" si="7"/>
        <v>Twenty five</v>
      </c>
      <c r="K18" s="858">
        <f t="shared" si="8"/>
        <v>2</v>
      </c>
      <c r="L18" s="858">
        <f t="shared" si="9"/>
        <v>4</v>
      </c>
      <c r="M18" s="858">
        <f t="shared" si="10"/>
        <v>6</v>
      </c>
      <c r="N18" s="858">
        <f t="shared" si="11"/>
      </c>
      <c r="O18" s="858">
        <f t="shared" si="12"/>
      </c>
      <c r="P18" s="858">
        <f t="shared" si="13"/>
      </c>
      <c r="Q18" s="858" t="str">
        <f t="shared" si="14"/>
        <v>Twenty five</v>
      </c>
      <c r="R18" s="854"/>
      <c r="S18" s="854"/>
      <c r="T18" s="854"/>
      <c r="U18" s="854"/>
      <c r="V18" s="854"/>
      <c r="W18" s="854"/>
      <c r="X18" s="854"/>
      <c r="Y18" s="854"/>
      <c r="Z18" s="854"/>
      <c r="AA18" s="854"/>
      <c r="AB18" s="854"/>
      <c r="AC18" s="854"/>
      <c r="AD18" s="854"/>
      <c r="AE18" s="854"/>
      <c r="AF18" s="854"/>
      <c r="AG18" s="854"/>
      <c r="AH18" s="854"/>
      <c r="AI18" s="854"/>
      <c r="AJ18" s="854"/>
      <c r="AK18" s="854"/>
      <c r="AL18" s="854"/>
      <c r="AM18" s="854"/>
      <c r="AN18" s="854"/>
      <c r="AO18" s="854"/>
      <c r="AP18" s="854"/>
      <c r="AQ18" s="854"/>
      <c r="AR18" s="854"/>
      <c r="AS18" s="854"/>
      <c r="AT18" s="854"/>
      <c r="AU18" s="854"/>
      <c r="AV18" s="854"/>
      <c r="AW18" s="854"/>
      <c r="AX18" s="854"/>
      <c r="AY18" s="854"/>
      <c r="AZ18" s="854"/>
      <c r="BA18" s="854"/>
      <c r="BB18" s="854"/>
      <c r="BC18" s="854"/>
      <c r="BD18" s="854"/>
      <c r="BE18" s="854"/>
      <c r="BF18" s="854"/>
      <c r="BG18" s="854"/>
      <c r="BH18" s="854"/>
      <c r="BI18" s="854"/>
      <c r="BJ18" s="854"/>
      <c r="BK18" s="854"/>
      <c r="BL18" s="854"/>
      <c r="BM18" s="854"/>
      <c r="BN18" s="854"/>
      <c r="BO18" s="854"/>
      <c r="BP18" s="854"/>
      <c r="BQ18" s="854"/>
      <c r="BR18" s="854"/>
      <c r="BS18" s="854"/>
      <c r="BT18" s="854"/>
      <c r="BU18" s="854"/>
      <c r="BV18" s="854"/>
      <c r="BW18" s="854"/>
      <c r="BX18" s="854"/>
      <c r="BY18" s="854"/>
      <c r="BZ18" s="854"/>
      <c r="CA18" s="854"/>
      <c r="CB18" s="854"/>
      <c r="CC18" s="854"/>
      <c r="CD18" s="854"/>
      <c r="CE18" s="854"/>
      <c r="CF18" s="854"/>
      <c r="CG18" s="854"/>
      <c r="CH18" s="854"/>
      <c r="CI18" s="854"/>
      <c r="CJ18" s="854"/>
      <c r="CK18" s="854"/>
      <c r="CL18" s="854"/>
      <c r="CM18" s="854"/>
      <c r="CN18" s="854"/>
      <c r="CO18" s="854"/>
      <c r="CP18" s="854"/>
      <c r="CQ18" s="854"/>
      <c r="CR18" s="854"/>
      <c r="CS18" s="854"/>
      <c r="CT18" s="854"/>
      <c r="CU18" s="854"/>
      <c r="CV18" s="854"/>
      <c r="CW18" s="854"/>
      <c r="CX18" s="854"/>
      <c r="CY18" s="854"/>
      <c r="CZ18" s="854"/>
      <c r="DA18" s="854"/>
      <c r="DB18" s="854"/>
      <c r="DC18" s="854"/>
      <c r="DD18" s="854"/>
      <c r="DE18" s="854"/>
      <c r="DF18" s="854"/>
    </row>
    <row r="19" spans="1:110" ht="23.25">
      <c r="A19" s="855">
        <v>1000</v>
      </c>
      <c r="B19" s="856" t="str">
        <f t="shared" si="0"/>
        <v>(One Thousand rupees only)</v>
      </c>
      <c r="C19" s="857">
        <f t="shared" si="1"/>
        <v>0</v>
      </c>
      <c r="D19" s="858">
        <f t="shared" si="2"/>
        <v>1</v>
      </c>
      <c r="E19" s="858">
        <f t="shared" si="3"/>
        <v>0</v>
      </c>
      <c r="F19" s="858">
        <f t="shared" si="4"/>
        <v>0</v>
      </c>
      <c r="G19" s="858">
        <f t="shared" si="5"/>
      </c>
      <c r="H19" s="858" t="str">
        <f t="shared" si="5"/>
        <v>One</v>
      </c>
      <c r="I19" s="858">
        <f t="shared" si="6"/>
      </c>
      <c r="J19" s="858">
        <f t="shared" si="7"/>
      </c>
      <c r="K19" s="858">
        <f t="shared" si="8"/>
        <v>1</v>
      </c>
      <c r="L19" s="858">
        <f t="shared" si="9"/>
        <v>3</v>
      </c>
      <c r="M19" s="858">
        <f t="shared" si="10"/>
        <v>5</v>
      </c>
      <c r="N19" s="858">
        <f t="shared" si="11"/>
      </c>
      <c r="O19" s="858" t="str">
        <f t="shared" si="12"/>
        <v> Thousand </v>
      </c>
      <c r="P19" s="858">
        <f t="shared" si="13"/>
      </c>
      <c r="Q19" s="858" t="str">
        <f t="shared" si="14"/>
        <v>One Thousand</v>
      </c>
      <c r="R19" s="854"/>
      <c r="S19" s="854"/>
      <c r="T19" s="854"/>
      <c r="U19" s="854"/>
      <c r="V19" s="854"/>
      <c r="W19" s="854"/>
      <c r="X19" s="854"/>
      <c r="Y19" s="854"/>
      <c r="Z19" s="854"/>
      <c r="AA19" s="854"/>
      <c r="AB19" s="854"/>
      <c r="AC19" s="854"/>
      <c r="AD19" s="854"/>
      <c r="AE19" s="854"/>
      <c r="AF19" s="854"/>
      <c r="AG19" s="854"/>
      <c r="AH19" s="854"/>
      <c r="AI19" s="854"/>
      <c r="AJ19" s="854"/>
      <c r="AK19" s="854"/>
      <c r="AL19" s="854"/>
      <c r="AM19" s="854"/>
      <c r="AN19" s="854"/>
      <c r="AO19" s="854"/>
      <c r="AP19" s="854"/>
      <c r="AQ19" s="854"/>
      <c r="AR19" s="854"/>
      <c r="AS19" s="854"/>
      <c r="AT19" s="854"/>
      <c r="AU19" s="854"/>
      <c r="AV19" s="854"/>
      <c r="AW19" s="854"/>
      <c r="AX19" s="854"/>
      <c r="AY19" s="854"/>
      <c r="AZ19" s="854"/>
      <c r="BA19" s="854"/>
      <c r="BB19" s="854"/>
      <c r="BC19" s="854"/>
      <c r="BD19" s="854"/>
      <c r="BE19" s="854"/>
      <c r="BF19" s="854"/>
      <c r="BG19" s="854"/>
      <c r="BH19" s="854"/>
      <c r="BI19" s="854"/>
      <c r="BJ19" s="854"/>
      <c r="BK19" s="854"/>
      <c r="BL19" s="854"/>
      <c r="BM19" s="854"/>
      <c r="BN19" s="854"/>
      <c r="BO19" s="854"/>
      <c r="BP19" s="854"/>
      <c r="BQ19" s="854"/>
      <c r="BR19" s="854"/>
      <c r="BS19" s="854"/>
      <c r="BT19" s="854"/>
      <c r="BU19" s="854"/>
      <c r="BV19" s="854"/>
      <c r="BW19" s="854"/>
      <c r="BX19" s="854"/>
      <c r="BY19" s="854"/>
      <c r="BZ19" s="854"/>
      <c r="CA19" s="854"/>
      <c r="CB19" s="854"/>
      <c r="CC19" s="854"/>
      <c r="CD19" s="854"/>
      <c r="CE19" s="854"/>
      <c r="CF19" s="854"/>
      <c r="CG19" s="854"/>
      <c r="CH19" s="854"/>
      <c r="CI19" s="854"/>
      <c r="CJ19" s="854"/>
      <c r="CK19" s="854"/>
      <c r="CL19" s="854"/>
      <c r="CM19" s="854"/>
      <c r="CN19" s="854"/>
      <c r="CO19" s="854"/>
      <c r="CP19" s="854"/>
      <c r="CQ19" s="854"/>
      <c r="CR19" s="854"/>
      <c r="CS19" s="854"/>
      <c r="CT19" s="854"/>
      <c r="CU19" s="854"/>
      <c r="CV19" s="854"/>
      <c r="CW19" s="854"/>
      <c r="CX19" s="854"/>
      <c r="CY19" s="854"/>
      <c r="CZ19" s="854"/>
      <c r="DA19" s="854"/>
      <c r="DB19" s="854"/>
      <c r="DC19" s="854"/>
      <c r="DD19" s="854"/>
      <c r="DE19" s="854"/>
      <c r="DF19" s="854"/>
    </row>
    <row r="20" spans="1:110" ht="23.25">
      <c r="A20" s="855">
        <v>43440</v>
      </c>
      <c r="B20" s="856" t="str">
        <f t="shared" si="0"/>
        <v>(Forty three Thousand Four Hundred and Forty rupees only)</v>
      </c>
      <c r="C20" s="857">
        <f t="shared" si="1"/>
        <v>0</v>
      </c>
      <c r="D20" s="858">
        <f t="shared" si="2"/>
        <v>43</v>
      </c>
      <c r="E20" s="858">
        <f t="shared" si="3"/>
        <v>4</v>
      </c>
      <c r="F20" s="858">
        <f t="shared" si="4"/>
        <v>40</v>
      </c>
      <c r="G20" s="858">
        <f t="shared" si="5"/>
      </c>
      <c r="H20" s="858" t="str">
        <f t="shared" si="5"/>
        <v>Forty three</v>
      </c>
      <c r="I20" s="858" t="str">
        <f t="shared" si="6"/>
        <v>Four</v>
      </c>
      <c r="J20" s="858" t="str">
        <f t="shared" si="7"/>
        <v>Forty </v>
      </c>
      <c r="K20" s="858">
        <f t="shared" si="8"/>
        <v>2</v>
      </c>
      <c r="L20" s="858">
        <f t="shared" si="9"/>
        <v>4</v>
      </c>
      <c r="M20" s="858">
        <f t="shared" si="10"/>
        <v>6</v>
      </c>
      <c r="N20" s="858">
        <f t="shared" si="11"/>
      </c>
      <c r="O20" s="858" t="str">
        <f t="shared" si="12"/>
        <v> Thousand </v>
      </c>
      <c r="P20" s="858" t="str">
        <f t="shared" si="13"/>
        <v> Hundred </v>
      </c>
      <c r="Q20" s="858" t="str">
        <f t="shared" si="14"/>
        <v>Forty three Thousand Four Hundred and Forty</v>
      </c>
      <c r="R20" s="854"/>
      <c r="S20" s="854"/>
      <c r="T20" s="854"/>
      <c r="U20" s="854"/>
      <c r="V20" s="854"/>
      <c r="W20" s="854"/>
      <c r="X20" s="854"/>
      <c r="Y20" s="854"/>
      <c r="Z20" s="854"/>
      <c r="AA20" s="854"/>
      <c r="AB20" s="854"/>
      <c r="AC20" s="854"/>
      <c r="AD20" s="854"/>
      <c r="AE20" s="854"/>
      <c r="AF20" s="854"/>
      <c r="AG20" s="854"/>
      <c r="AH20" s="854"/>
      <c r="AI20" s="854"/>
      <c r="AJ20" s="854"/>
      <c r="AK20" s="854"/>
      <c r="AL20" s="854"/>
      <c r="AM20" s="854"/>
      <c r="AN20" s="854"/>
      <c r="AO20" s="854"/>
      <c r="AP20" s="854"/>
      <c r="AQ20" s="854"/>
      <c r="AR20" s="854"/>
      <c r="AS20" s="854"/>
      <c r="AT20" s="854"/>
      <c r="AU20" s="854"/>
      <c r="AV20" s="854"/>
      <c r="AW20" s="854"/>
      <c r="AX20" s="854"/>
      <c r="AY20" s="854"/>
      <c r="AZ20" s="854"/>
      <c r="BA20" s="854"/>
      <c r="BB20" s="854"/>
      <c r="BC20" s="854"/>
      <c r="BD20" s="854"/>
      <c r="BE20" s="854"/>
      <c r="BF20" s="854"/>
      <c r="BG20" s="854"/>
      <c r="BH20" s="854"/>
      <c r="BI20" s="854"/>
      <c r="BJ20" s="854"/>
      <c r="BK20" s="854"/>
      <c r="BL20" s="854"/>
      <c r="BM20" s="854"/>
      <c r="BN20" s="854"/>
      <c r="BO20" s="854"/>
      <c r="BP20" s="854"/>
      <c r="BQ20" s="854"/>
      <c r="BR20" s="854"/>
      <c r="BS20" s="854"/>
      <c r="BT20" s="854"/>
      <c r="BU20" s="854"/>
      <c r="BV20" s="854"/>
      <c r="BW20" s="854"/>
      <c r="BX20" s="854"/>
      <c r="BY20" s="854"/>
      <c r="BZ20" s="854"/>
      <c r="CA20" s="854"/>
      <c r="CB20" s="854"/>
      <c r="CC20" s="854"/>
      <c r="CD20" s="854"/>
      <c r="CE20" s="854"/>
      <c r="CF20" s="854"/>
      <c r="CG20" s="854"/>
      <c r="CH20" s="854"/>
      <c r="CI20" s="854"/>
      <c r="CJ20" s="854"/>
      <c r="CK20" s="854"/>
      <c r="CL20" s="854"/>
      <c r="CM20" s="854"/>
      <c r="CN20" s="854"/>
      <c r="CO20" s="854"/>
      <c r="CP20" s="854"/>
      <c r="CQ20" s="854"/>
      <c r="CR20" s="854"/>
      <c r="CS20" s="854"/>
      <c r="CT20" s="854"/>
      <c r="CU20" s="854"/>
      <c r="CV20" s="854"/>
      <c r="CW20" s="854"/>
      <c r="CX20" s="854"/>
      <c r="CY20" s="854"/>
      <c r="CZ20" s="854"/>
      <c r="DA20" s="854"/>
      <c r="DB20" s="854"/>
      <c r="DC20" s="854"/>
      <c r="DD20" s="854"/>
      <c r="DE20" s="854"/>
      <c r="DF20" s="854"/>
    </row>
    <row r="21" spans="1:110" ht="23.25">
      <c r="A21" s="855">
        <v>43440</v>
      </c>
      <c r="B21" s="856" t="str">
        <f t="shared" si="0"/>
        <v>(Forty three Thousand Four Hundred and Forty rupees only)</v>
      </c>
      <c r="C21" s="857">
        <f t="shared" si="1"/>
        <v>0</v>
      </c>
      <c r="D21" s="858">
        <f t="shared" si="2"/>
        <v>43</v>
      </c>
      <c r="E21" s="858">
        <f t="shared" si="3"/>
        <v>4</v>
      </c>
      <c r="F21" s="858">
        <f t="shared" si="4"/>
        <v>40</v>
      </c>
      <c r="G21" s="858">
        <f t="shared" si="5"/>
      </c>
      <c r="H21" s="858" t="str">
        <f t="shared" si="5"/>
        <v>Forty three</v>
      </c>
      <c r="I21" s="858" t="str">
        <f t="shared" si="6"/>
        <v>Four</v>
      </c>
      <c r="J21" s="858" t="str">
        <f t="shared" si="7"/>
        <v>Forty </v>
      </c>
      <c r="K21" s="858">
        <f t="shared" si="8"/>
        <v>2</v>
      </c>
      <c r="L21" s="858">
        <f t="shared" si="9"/>
        <v>4</v>
      </c>
      <c r="M21" s="858">
        <f t="shared" si="10"/>
        <v>6</v>
      </c>
      <c r="N21" s="858">
        <f t="shared" si="11"/>
      </c>
      <c r="O21" s="858" t="str">
        <f t="shared" si="12"/>
        <v> Thousand </v>
      </c>
      <c r="P21" s="858" t="str">
        <f t="shared" si="13"/>
        <v> Hundred </v>
      </c>
      <c r="Q21" s="858" t="str">
        <f t="shared" si="14"/>
        <v>Forty three Thousand Four Hundred and Forty</v>
      </c>
      <c r="R21" s="854"/>
      <c r="S21" s="854"/>
      <c r="T21" s="854"/>
      <c r="U21" s="854"/>
      <c r="V21" s="854"/>
      <c r="W21" s="854"/>
      <c r="X21" s="854"/>
      <c r="Y21" s="854"/>
      <c r="Z21" s="854"/>
      <c r="AA21" s="854"/>
      <c r="AB21" s="854"/>
      <c r="AC21" s="854"/>
      <c r="AD21" s="854"/>
      <c r="AE21" s="854"/>
      <c r="AF21" s="854"/>
      <c r="AG21" s="854"/>
      <c r="AH21" s="854"/>
      <c r="AI21" s="854"/>
      <c r="AJ21" s="854"/>
      <c r="AK21" s="854"/>
      <c r="AL21" s="854"/>
      <c r="AM21" s="854"/>
      <c r="AN21" s="854"/>
      <c r="AO21" s="854"/>
      <c r="AP21" s="854"/>
      <c r="AQ21" s="854"/>
      <c r="AR21" s="854"/>
      <c r="AS21" s="854"/>
      <c r="AT21" s="854"/>
      <c r="AU21" s="854"/>
      <c r="AV21" s="854"/>
      <c r="AW21" s="854"/>
      <c r="AX21" s="854"/>
      <c r="AY21" s="854"/>
      <c r="AZ21" s="854"/>
      <c r="BA21" s="854"/>
      <c r="BB21" s="854"/>
      <c r="BC21" s="854"/>
      <c r="BD21" s="854"/>
      <c r="BE21" s="854"/>
      <c r="BF21" s="854"/>
      <c r="BG21" s="854"/>
      <c r="BH21" s="854"/>
      <c r="BI21" s="854"/>
      <c r="BJ21" s="854"/>
      <c r="BK21" s="854"/>
      <c r="BL21" s="854"/>
      <c r="BM21" s="854"/>
      <c r="BN21" s="854"/>
      <c r="BO21" s="854"/>
      <c r="BP21" s="854"/>
      <c r="BQ21" s="854"/>
      <c r="BR21" s="854"/>
      <c r="BS21" s="854"/>
      <c r="BT21" s="854"/>
      <c r="BU21" s="854"/>
      <c r="BV21" s="854"/>
      <c r="BW21" s="854"/>
      <c r="BX21" s="854"/>
      <c r="BY21" s="854"/>
      <c r="BZ21" s="854"/>
      <c r="CA21" s="854"/>
      <c r="CB21" s="854"/>
      <c r="CC21" s="854"/>
      <c r="CD21" s="854"/>
      <c r="CE21" s="854"/>
      <c r="CF21" s="854"/>
      <c r="CG21" s="854"/>
      <c r="CH21" s="854"/>
      <c r="CI21" s="854"/>
      <c r="CJ21" s="854"/>
      <c r="CK21" s="854"/>
      <c r="CL21" s="854"/>
      <c r="CM21" s="854"/>
      <c r="CN21" s="854"/>
      <c r="CO21" s="854"/>
      <c r="CP21" s="854"/>
      <c r="CQ21" s="854"/>
      <c r="CR21" s="854"/>
      <c r="CS21" s="854"/>
      <c r="CT21" s="854"/>
      <c r="CU21" s="854"/>
      <c r="CV21" s="854"/>
      <c r="CW21" s="854"/>
      <c r="CX21" s="854"/>
      <c r="CY21" s="854"/>
      <c r="CZ21" s="854"/>
      <c r="DA21" s="854"/>
      <c r="DB21" s="854"/>
      <c r="DC21" s="854"/>
      <c r="DD21" s="854"/>
      <c r="DE21" s="854"/>
      <c r="DF21" s="854"/>
    </row>
    <row r="22" spans="1:110" ht="23.25">
      <c r="A22" s="855">
        <v>43440</v>
      </c>
      <c r="B22" s="856" t="str">
        <f t="shared" si="0"/>
        <v>(Forty three Thousand Four Hundred and Forty rupees only)</v>
      </c>
      <c r="C22" s="857">
        <f t="shared" si="1"/>
        <v>0</v>
      </c>
      <c r="D22" s="858">
        <f t="shared" si="2"/>
        <v>43</v>
      </c>
      <c r="E22" s="858">
        <f t="shared" si="3"/>
        <v>4</v>
      </c>
      <c r="F22" s="858">
        <f t="shared" si="4"/>
        <v>40</v>
      </c>
      <c r="G22" s="858">
        <f t="shared" si="5"/>
      </c>
      <c r="H22" s="858" t="str">
        <f t="shared" si="5"/>
        <v>Forty three</v>
      </c>
      <c r="I22" s="858" t="str">
        <f t="shared" si="6"/>
        <v>Four</v>
      </c>
      <c r="J22" s="858" t="str">
        <f t="shared" si="7"/>
        <v>Forty </v>
      </c>
      <c r="K22" s="858">
        <f t="shared" si="8"/>
        <v>2</v>
      </c>
      <c r="L22" s="858">
        <f t="shared" si="9"/>
        <v>4</v>
      </c>
      <c r="M22" s="858">
        <f t="shared" si="10"/>
        <v>6</v>
      </c>
      <c r="N22" s="858">
        <f t="shared" si="11"/>
      </c>
      <c r="O22" s="858" t="str">
        <f t="shared" si="12"/>
        <v> Thousand </v>
      </c>
      <c r="P22" s="858" t="str">
        <f t="shared" si="13"/>
        <v> Hundred </v>
      </c>
      <c r="Q22" s="858" t="str">
        <f t="shared" si="14"/>
        <v>Forty three Thousand Four Hundred and Forty</v>
      </c>
      <c r="R22" s="854"/>
      <c r="S22" s="854"/>
      <c r="T22" s="854"/>
      <c r="U22" s="854"/>
      <c r="V22" s="854"/>
      <c r="W22" s="854"/>
      <c r="X22" s="854"/>
      <c r="Y22" s="854"/>
      <c r="Z22" s="854"/>
      <c r="AA22" s="854"/>
      <c r="AB22" s="854"/>
      <c r="AC22" s="854"/>
      <c r="AD22" s="854"/>
      <c r="AE22" s="854"/>
      <c r="AF22" s="854"/>
      <c r="AG22" s="854"/>
      <c r="AH22" s="854"/>
      <c r="AI22" s="854"/>
      <c r="AJ22" s="854"/>
      <c r="AK22" s="854"/>
      <c r="AL22" s="854"/>
      <c r="AM22" s="854"/>
      <c r="AN22" s="854"/>
      <c r="AO22" s="854"/>
      <c r="AP22" s="854"/>
      <c r="AQ22" s="854"/>
      <c r="AR22" s="854"/>
      <c r="AS22" s="854"/>
      <c r="AT22" s="854"/>
      <c r="AU22" s="854"/>
      <c r="AV22" s="854"/>
      <c r="AW22" s="854"/>
      <c r="AX22" s="854"/>
      <c r="AY22" s="854"/>
      <c r="AZ22" s="854"/>
      <c r="BA22" s="854"/>
      <c r="BB22" s="854"/>
      <c r="BC22" s="854"/>
      <c r="BD22" s="854"/>
      <c r="BE22" s="854"/>
      <c r="BF22" s="854"/>
      <c r="BG22" s="854"/>
      <c r="BH22" s="854"/>
      <c r="BI22" s="854"/>
      <c r="BJ22" s="854"/>
      <c r="BK22" s="854"/>
      <c r="BL22" s="854"/>
      <c r="BM22" s="854"/>
      <c r="BN22" s="854"/>
      <c r="BO22" s="854"/>
      <c r="BP22" s="854"/>
      <c r="BQ22" s="854"/>
      <c r="BR22" s="854"/>
      <c r="BS22" s="854"/>
      <c r="BT22" s="854"/>
      <c r="BU22" s="854"/>
      <c r="BV22" s="854"/>
      <c r="BW22" s="854"/>
      <c r="BX22" s="854"/>
      <c r="BY22" s="854"/>
      <c r="BZ22" s="854"/>
      <c r="CA22" s="854"/>
      <c r="CB22" s="854"/>
      <c r="CC22" s="854"/>
      <c r="CD22" s="854"/>
      <c r="CE22" s="854"/>
      <c r="CF22" s="854"/>
      <c r="CG22" s="854"/>
      <c r="CH22" s="854"/>
      <c r="CI22" s="854"/>
      <c r="CJ22" s="854"/>
      <c r="CK22" s="854"/>
      <c r="CL22" s="854"/>
      <c r="CM22" s="854"/>
      <c r="CN22" s="854"/>
      <c r="CO22" s="854"/>
      <c r="CP22" s="854"/>
      <c r="CQ22" s="854"/>
      <c r="CR22" s="854"/>
      <c r="CS22" s="854"/>
      <c r="CT22" s="854"/>
      <c r="CU22" s="854"/>
      <c r="CV22" s="854"/>
      <c r="CW22" s="854"/>
      <c r="CX22" s="854"/>
      <c r="CY22" s="854"/>
      <c r="CZ22" s="854"/>
      <c r="DA22" s="854"/>
      <c r="DB22" s="854"/>
      <c r="DC22" s="854"/>
      <c r="DD22" s="854"/>
      <c r="DE22" s="854"/>
      <c r="DF22" s="854"/>
    </row>
    <row r="23" spans="1:110" ht="23.25">
      <c r="A23" s="855"/>
      <c r="B23" s="856">
        <f t="shared" si="0"/>
      </c>
      <c r="C23" s="857">
        <f t="shared" si="1"/>
        <v>0</v>
      </c>
      <c r="D23" s="858">
        <f t="shared" si="2"/>
        <v>0</v>
      </c>
      <c r="E23" s="858">
        <f t="shared" si="3"/>
        <v>0</v>
      </c>
      <c r="F23" s="858">
        <f t="shared" si="4"/>
        <v>0</v>
      </c>
      <c r="G23" s="858">
        <f t="shared" si="5"/>
      </c>
      <c r="H23" s="858">
        <f t="shared" si="5"/>
      </c>
      <c r="I23" s="858">
        <f t="shared" si="6"/>
      </c>
      <c r="J23" s="858">
        <f t="shared" si="7"/>
      </c>
      <c r="K23" s="858">
        <f t="shared" si="8"/>
        <v>1</v>
      </c>
      <c r="L23" s="858">
        <f t="shared" si="9"/>
        <v>3</v>
      </c>
      <c r="M23" s="858">
        <f t="shared" si="10"/>
        <v>5</v>
      </c>
      <c r="N23" s="858">
        <f t="shared" si="11"/>
      </c>
      <c r="O23" s="858">
        <f t="shared" si="12"/>
      </c>
      <c r="P23" s="858">
        <f t="shared" si="13"/>
      </c>
      <c r="Q23" s="858" t="str">
        <f t="shared" si="14"/>
        <v>Zero</v>
      </c>
      <c r="R23" s="854"/>
      <c r="S23" s="854"/>
      <c r="T23" s="854"/>
      <c r="U23" s="854"/>
      <c r="V23" s="854"/>
      <c r="W23" s="854"/>
      <c r="X23" s="854"/>
      <c r="Y23" s="854"/>
      <c r="Z23" s="854"/>
      <c r="AA23" s="854"/>
      <c r="AB23" s="854"/>
      <c r="AC23" s="854"/>
      <c r="AD23" s="854"/>
      <c r="AE23" s="854"/>
      <c r="AF23" s="854"/>
      <c r="AG23" s="854"/>
      <c r="AH23" s="854"/>
      <c r="AI23" s="854"/>
      <c r="AJ23" s="854"/>
      <c r="AK23" s="854"/>
      <c r="AL23" s="854"/>
      <c r="AM23" s="854"/>
      <c r="AN23" s="854"/>
      <c r="AO23" s="854"/>
      <c r="AP23" s="854"/>
      <c r="AQ23" s="854"/>
      <c r="AR23" s="854"/>
      <c r="AS23" s="854"/>
      <c r="AT23" s="854"/>
      <c r="AU23" s="854"/>
      <c r="AV23" s="854"/>
      <c r="AW23" s="854"/>
      <c r="AX23" s="854"/>
      <c r="AY23" s="854"/>
      <c r="AZ23" s="854"/>
      <c r="BA23" s="854"/>
      <c r="BB23" s="854"/>
      <c r="BC23" s="854"/>
      <c r="BD23" s="854"/>
      <c r="BE23" s="854"/>
      <c r="BF23" s="854"/>
      <c r="BG23" s="854"/>
      <c r="BH23" s="854"/>
      <c r="BI23" s="854"/>
      <c r="BJ23" s="854"/>
      <c r="BK23" s="854"/>
      <c r="BL23" s="854"/>
      <c r="BM23" s="854"/>
      <c r="BN23" s="854"/>
      <c r="BO23" s="854"/>
      <c r="BP23" s="854"/>
      <c r="BQ23" s="854"/>
      <c r="BR23" s="854"/>
      <c r="BS23" s="854"/>
      <c r="BT23" s="854"/>
      <c r="BU23" s="854"/>
      <c r="BV23" s="854"/>
      <c r="BW23" s="854"/>
      <c r="BX23" s="854"/>
      <c r="BY23" s="854"/>
      <c r="BZ23" s="854"/>
      <c r="CA23" s="854"/>
      <c r="CB23" s="854"/>
      <c r="CC23" s="854"/>
      <c r="CD23" s="854"/>
      <c r="CE23" s="854"/>
      <c r="CF23" s="854"/>
      <c r="CG23" s="854"/>
      <c r="CH23" s="854"/>
      <c r="CI23" s="854"/>
      <c r="CJ23" s="854"/>
      <c r="CK23" s="854"/>
      <c r="CL23" s="854"/>
      <c r="CM23" s="854"/>
      <c r="CN23" s="854"/>
      <c r="CO23" s="854"/>
      <c r="CP23" s="854"/>
      <c r="CQ23" s="854"/>
      <c r="CR23" s="854"/>
      <c r="CS23" s="854"/>
      <c r="CT23" s="854"/>
      <c r="CU23" s="854"/>
      <c r="CV23" s="854"/>
      <c r="CW23" s="854"/>
      <c r="CX23" s="854"/>
      <c r="CY23" s="854"/>
      <c r="CZ23" s="854"/>
      <c r="DA23" s="854"/>
      <c r="DB23" s="854"/>
      <c r="DC23" s="854"/>
      <c r="DD23" s="854"/>
      <c r="DE23" s="854"/>
      <c r="DF23" s="854"/>
    </row>
    <row r="24" spans="1:110" ht="23.25">
      <c r="A24" s="855"/>
      <c r="B24" s="856"/>
      <c r="C24" s="857">
        <f t="shared" si="1"/>
        <v>0</v>
      </c>
      <c r="D24" s="858">
        <f t="shared" si="2"/>
        <v>0</v>
      </c>
      <c r="E24" s="858">
        <f t="shared" si="3"/>
        <v>0</v>
      </c>
      <c r="F24" s="858">
        <f t="shared" si="4"/>
        <v>0</v>
      </c>
      <c r="G24" s="858">
        <f t="shared" si="5"/>
      </c>
      <c r="H24" s="858">
        <f t="shared" si="5"/>
      </c>
      <c r="I24" s="858">
        <f t="shared" si="6"/>
      </c>
      <c r="J24" s="858">
        <f t="shared" si="7"/>
      </c>
      <c r="K24" s="858">
        <f t="shared" si="8"/>
        <v>1</v>
      </c>
      <c r="L24" s="858">
        <f t="shared" si="9"/>
        <v>3</v>
      </c>
      <c r="M24" s="858">
        <f t="shared" si="10"/>
        <v>5</v>
      </c>
      <c r="N24" s="858">
        <f t="shared" si="11"/>
      </c>
      <c r="O24" s="858">
        <f t="shared" si="12"/>
      </c>
      <c r="P24" s="858">
        <f t="shared" si="13"/>
      </c>
      <c r="Q24" s="858" t="str">
        <f t="shared" si="14"/>
        <v>Zero</v>
      </c>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854"/>
      <c r="BA24" s="854"/>
      <c r="BB24" s="854"/>
      <c r="BC24" s="854"/>
      <c r="BD24" s="854"/>
      <c r="BE24" s="854"/>
      <c r="BF24" s="854"/>
      <c r="BG24" s="854"/>
      <c r="BH24" s="854"/>
      <c r="BI24" s="854"/>
      <c r="BJ24" s="854"/>
      <c r="BK24" s="854"/>
      <c r="BL24" s="854"/>
      <c r="BM24" s="854"/>
      <c r="BN24" s="854"/>
      <c r="BO24" s="854"/>
      <c r="BP24" s="854"/>
      <c r="BQ24" s="854"/>
      <c r="BR24" s="854"/>
      <c r="BS24" s="854"/>
      <c r="BT24" s="854"/>
      <c r="BU24" s="854"/>
      <c r="BV24" s="854"/>
      <c r="BW24" s="854"/>
      <c r="BX24" s="854"/>
      <c r="BY24" s="854"/>
      <c r="BZ24" s="854"/>
      <c r="CA24" s="854"/>
      <c r="CB24" s="854"/>
      <c r="CC24" s="854"/>
      <c r="CD24" s="854"/>
      <c r="CE24" s="854"/>
      <c r="CF24" s="854"/>
      <c r="CG24" s="854"/>
      <c r="CH24" s="854"/>
      <c r="CI24" s="854"/>
      <c r="CJ24" s="854"/>
      <c r="CK24" s="854"/>
      <c r="CL24" s="854"/>
      <c r="CM24" s="854"/>
      <c r="CN24" s="854"/>
      <c r="CO24" s="854"/>
      <c r="CP24" s="854"/>
      <c r="CQ24" s="854"/>
      <c r="CR24" s="854"/>
      <c r="CS24" s="854"/>
      <c r="CT24" s="854"/>
      <c r="CU24" s="854"/>
      <c r="CV24" s="854"/>
      <c r="CW24" s="854"/>
      <c r="CX24" s="854"/>
      <c r="CY24" s="854"/>
      <c r="CZ24" s="854"/>
      <c r="DA24" s="854"/>
      <c r="DB24" s="854"/>
      <c r="DC24" s="854"/>
      <c r="DD24" s="854"/>
      <c r="DE24" s="854"/>
      <c r="DF24" s="854"/>
    </row>
    <row r="25" spans="1:110" ht="23.25">
      <c r="A25" s="855"/>
      <c r="B25" s="856"/>
      <c r="C25" s="857">
        <f t="shared" si="1"/>
        <v>0</v>
      </c>
      <c r="D25" s="858">
        <f t="shared" si="2"/>
        <v>0</v>
      </c>
      <c r="E25" s="858">
        <f t="shared" si="3"/>
        <v>0</v>
      </c>
      <c r="F25" s="858">
        <f t="shared" si="4"/>
        <v>0</v>
      </c>
      <c r="G25" s="858">
        <f t="shared" si="5"/>
      </c>
      <c r="H25" s="858">
        <f t="shared" si="5"/>
      </c>
      <c r="I25" s="858">
        <f t="shared" si="6"/>
      </c>
      <c r="J25" s="858">
        <f t="shared" si="7"/>
      </c>
      <c r="K25" s="858">
        <f t="shared" si="8"/>
        <v>1</v>
      </c>
      <c r="L25" s="858">
        <f t="shared" si="9"/>
        <v>3</v>
      </c>
      <c r="M25" s="858">
        <f t="shared" si="10"/>
        <v>5</v>
      </c>
      <c r="N25" s="858">
        <f t="shared" si="11"/>
      </c>
      <c r="O25" s="858">
        <f t="shared" si="12"/>
      </c>
      <c r="P25" s="858">
        <f t="shared" si="13"/>
      </c>
      <c r="Q25" s="858" t="str">
        <f t="shared" si="14"/>
        <v>Zero</v>
      </c>
      <c r="R25" s="854"/>
      <c r="S25" s="854"/>
      <c r="T25" s="854"/>
      <c r="U25" s="854"/>
      <c r="V25" s="854"/>
      <c r="W25" s="854"/>
      <c r="X25" s="854"/>
      <c r="Y25" s="854"/>
      <c r="Z25" s="854"/>
      <c r="AA25" s="854"/>
      <c r="AB25" s="854"/>
      <c r="AC25" s="854"/>
      <c r="AD25" s="854"/>
      <c r="AE25" s="854"/>
      <c r="AF25" s="854"/>
      <c r="AG25" s="854"/>
      <c r="AH25" s="854"/>
      <c r="AI25" s="854"/>
      <c r="AJ25" s="854"/>
      <c r="AK25" s="854"/>
      <c r="AL25" s="854"/>
      <c r="AM25" s="854"/>
      <c r="AN25" s="854"/>
      <c r="AO25" s="854"/>
      <c r="AP25" s="854"/>
      <c r="AQ25" s="854"/>
      <c r="AR25" s="854"/>
      <c r="AS25" s="854"/>
      <c r="AT25" s="854"/>
      <c r="AU25" s="854"/>
      <c r="AV25" s="854"/>
      <c r="AW25" s="854"/>
      <c r="AX25" s="854"/>
      <c r="AY25" s="854"/>
      <c r="AZ25" s="854"/>
      <c r="BA25" s="854"/>
      <c r="BB25" s="854"/>
      <c r="BC25" s="854"/>
      <c r="BD25" s="854"/>
      <c r="BE25" s="854"/>
      <c r="BF25" s="854"/>
      <c r="BG25" s="854"/>
      <c r="BH25" s="854"/>
      <c r="BI25" s="854"/>
      <c r="BJ25" s="854"/>
      <c r="BK25" s="854"/>
      <c r="BL25" s="854"/>
      <c r="BM25" s="854"/>
      <c r="BN25" s="854"/>
      <c r="BO25" s="854"/>
      <c r="BP25" s="854"/>
      <c r="BQ25" s="854"/>
      <c r="BR25" s="854"/>
      <c r="BS25" s="854"/>
      <c r="BT25" s="854"/>
      <c r="BU25" s="854"/>
      <c r="BV25" s="854"/>
      <c r="BW25" s="854"/>
      <c r="BX25" s="854"/>
      <c r="BY25" s="854"/>
      <c r="BZ25" s="854"/>
      <c r="CA25" s="854"/>
      <c r="CB25" s="854"/>
      <c r="CC25" s="854"/>
      <c r="CD25" s="854"/>
      <c r="CE25" s="854"/>
      <c r="CF25" s="854"/>
      <c r="CG25" s="854"/>
      <c r="CH25" s="854"/>
      <c r="CI25" s="854"/>
      <c r="CJ25" s="854"/>
      <c r="CK25" s="854"/>
      <c r="CL25" s="854"/>
      <c r="CM25" s="854"/>
      <c r="CN25" s="854"/>
      <c r="CO25" s="854"/>
      <c r="CP25" s="854"/>
      <c r="CQ25" s="854"/>
      <c r="CR25" s="854"/>
      <c r="CS25" s="854"/>
      <c r="CT25" s="854"/>
      <c r="CU25" s="854"/>
      <c r="CV25" s="854"/>
      <c r="CW25" s="854"/>
      <c r="CX25" s="854"/>
      <c r="CY25" s="854"/>
      <c r="CZ25" s="854"/>
      <c r="DA25" s="854"/>
      <c r="DB25" s="854"/>
      <c r="DC25" s="854"/>
      <c r="DD25" s="854"/>
      <c r="DE25" s="854"/>
      <c r="DF25" s="854"/>
    </row>
    <row r="26" spans="1:110" ht="23.25">
      <c r="A26" s="855"/>
      <c r="B26" s="856"/>
      <c r="C26" s="857">
        <f t="shared" si="1"/>
        <v>0</v>
      </c>
      <c r="D26" s="858">
        <f t="shared" si="2"/>
        <v>0</v>
      </c>
      <c r="E26" s="858">
        <f t="shared" si="3"/>
        <v>0</v>
      </c>
      <c r="F26" s="858">
        <f t="shared" si="4"/>
        <v>0</v>
      </c>
      <c r="G26" s="858">
        <f t="shared" si="5"/>
      </c>
      <c r="H26" s="858">
        <f t="shared" si="5"/>
      </c>
      <c r="I26" s="858">
        <f t="shared" si="6"/>
      </c>
      <c r="J26" s="858">
        <f t="shared" si="7"/>
      </c>
      <c r="K26" s="858">
        <f t="shared" si="8"/>
        <v>1</v>
      </c>
      <c r="L26" s="858">
        <f t="shared" si="9"/>
        <v>3</v>
      </c>
      <c r="M26" s="858">
        <f t="shared" si="10"/>
        <v>5</v>
      </c>
      <c r="N26" s="858">
        <f t="shared" si="11"/>
      </c>
      <c r="O26" s="858">
        <f t="shared" si="12"/>
      </c>
      <c r="P26" s="858">
        <f t="shared" si="13"/>
      </c>
      <c r="Q26" s="858" t="str">
        <f t="shared" si="14"/>
        <v>Zero</v>
      </c>
      <c r="R26" s="854"/>
      <c r="S26" s="854"/>
      <c r="T26" s="854"/>
      <c r="U26" s="854"/>
      <c r="V26" s="854"/>
      <c r="W26" s="854"/>
      <c r="X26" s="854"/>
      <c r="Y26" s="854"/>
      <c r="Z26" s="854"/>
      <c r="AA26" s="854"/>
      <c r="AB26" s="854"/>
      <c r="AC26" s="854"/>
      <c r="AD26" s="854"/>
      <c r="AE26" s="854"/>
      <c r="AF26" s="854"/>
      <c r="AG26" s="854"/>
      <c r="AH26" s="854"/>
      <c r="AI26" s="854"/>
      <c r="AJ26" s="854"/>
      <c r="AK26" s="854"/>
      <c r="AL26" s="854"/>
      <c r="AM26" s="854"/>
      <c r="AN26" s="854"/>
      <c r="AO26" s="854"/>
      <c r="AP26" s="854"/>
      <c r="AQ26" s="854"/>
      <c r="AR26" s="854"/>
      <c r="AS26" s="854"/>
      <c r="AT26" s="854"/>
      <c r="AU26" s="854"/>
      <c r="AV26" s="854"/>
      <c r="AW26" s="854"/>
      <c r="AX26" s="854"/>
      <c r="AY26" s="854"/>
      <c r="AZ26" s="854"/>
      <c r="BA26" s="854"/>
      <c r="BB26" s="854"/>
      <c r="BC26" s="854"/>
      <c r="BD26" s="854"/>
      <c r="BE26" s="854"/>
      <c r="BF26" s="854"/>
      <c r="BG26" s="854"/>
      <c r="BH26" s="854"/>
      <c r="BI26" s="854"/>
      <c r="BJ26" s="854"/>
      <c r="BK26" s="854"/>
      <c r="BL26" s="854"/>
      <c r="BM26" s="854"/>
      <c r="BN26" s="854"/>
      <c r="BO26" s="854"/>
      <c r="BP26" s="854"/>
      <c r="BQ26" s="854"/>
      <c r="BR26" s="854"/>
      <c r="BS26" s="854"/>
      <c r="BT26" s="854"/>
      <c r="BU26" s="854"/>
      <c r="BV26" s="854"/>
      <c r="BW26" s="854"/>
      <c r="BX26" s="854"/>
      <c r="BY26" s="854"/>
      <c r="BZ26" s="854"/>
      <c r="CA26" s="854"/>
      <c r="CB26" s="854"/>
      <c r="CC26" s="854"/>
      <c r="CD26" s="854"/>
      <c r="CE26" s="854"/>
      <c r="CF26" s="854"/>
      <c r="CG26" s="854"/>
      <c r="CH26" s="854"/>
      <c r="CI26" s="854"/>
      <c r="CJ26" s="854"/>
      <c r="CK26" s="854"/>
      <c r="CL26" s="854"/>
      <c r="CM26" s="854"/>
      <c r="CN26" s="854"/>
      <c r="CO26" s="854"/>
      <c r="CP26" s="854"/>
      <c r="CQ26" s="854"/>
      <c r="CR26" s="854"/>
      <c r="CS26" s="854"/>
      <c r="CT26" s="854"/>
      <c r="CU26" s="854"/>
      <c r="CV26" s="854"/>
      <c r="CW26" s="854"/>
      <c r="CX26" s="854"/>
      <c r="CY26" s="854"/>
      <c r="CZ26" s="854"/>
      <c r="DA26" s="854"/>
      <c r="DB26" s="854"/>
      <c r="DC26" s="854"/>
      <c r="DD26" s="854"/>
      <c r="DE26" s="854"/>
      <c r="DF26" s="854"/>
    </row>
    <row r="27" spans="1:110" ht="23.25">
      <c r="A27" s="855"/>
      <c r="B27" s="856"/>
      <c r="C27" s="857">
        <f t="shared" si="1"/>
        <v>0</v>
      </c>
      <c r="D27" s="858">
        <f t="shared" si="2"/>
        <v>0</v>
      </c>
      <c r="E27" s="858">
        <f t="shared" si="3"/>
        <v>0</v>
      </c>
      <c r="F27" s="858">
        <f t="shared" si="4"/>
        <v>0</v>
      </c>
      <c r="G27" s="858">
        <f t="shared" si="5"/>
      </c>
      <c r="H27" s="858">
        <f t="shared" si="5"/>
      </c>
      <c r="I27" s="858">
        <f t="shared" si="6"/>
      </c>
      <c r="J27" s="858">
        <f t="shared" si="7"/>
      </c>
      <c r="K27" s="858">
        <f t="shared" si="8"/>
        <v>1</v>
      </c>
      <c r="L27" s="858">
        <f t="shared" si="9"/>
        <v>3</v>
      </c>
      <c r="M27" s="858">
        <f t="shared" si="10"/>
        <v>5</v>
      </c>
      <c r="N27" s="858">
        <f t="shared" si="11"/>
      </c>
      <c r="O27" s="858">
        <f t="shared" si="12"/>
      </c>
      <c r="P27" s="858">
        <f t="shared" si="13"/>
      </c>
      <c r="Q27" s="858" t="str">
        <f t="shared" si="14"/>
        <v>Zero</v>
      </c>
      <c r="R27" s="854"/>
      <c r="S27" s="854"/>
      <c r="T27" s="854"/>
      <c r="U27" s="854"/>
      <c r="V27" s="854"/>
      <c r="W27" s="854"/>
      <c r="X27" s="854"/>
      <c r="Y27" s="854"/>
      <c r="Z27" s="854"/>
      <c r="AA27" s="854"/>
      <c r="AB27" s="854"/>
      <c r="AC27" s="854"/>
      <c r="AD27" s="854"/>
      <c r="AE27" s="854"/>
      <c r="AF27" s="854"/>
      <c r="AG27" s="854"/>
      <c r="AH27" s="854"/>
      <c r="AI27" s="854"/>
      <c r="AJ27" s="854"/>
      <c r="AK27" s="854"/>
      <c r="AL27" s="854"/>
      <c r="AM27" s="854"/>
      <c r="AN27" s="854"/>
      <c r="AO27" s="854"/>
      <c r="AP27" s="854"/>
      <c r="AQ27" s="854"/>
      <c r="AR27" s="854"/>
      <c r="AS27" s="854"/>
      <c r="AT27" s="854"/>
      <c r="AU27" s="854"/>
      <c r="AV27" s="854"/>
      <c r="AW27" s="854"/>
      <c r="AX27" s="854"/>
      <c r="AY27" s="854"/>
      <c r="AZ27" s="854"/>
      <c r="BA27" s="854"/>
      <c r="BB27" s="854"/>
      <c r="BC27" s="854"/>
      <c r="BD27" s="854"/>
      <c r="BE27" s="854"/>
      <c r="BF27" s="854"/>
      <c r="BG27" s="854"/>
      <c r="BH27" s="854"/>
      <c r="BI27" s="854"/>
      <c r="BJ27" s="854"/>
      <c r="BK27" s="854"/>
      <c r="BL27" s="854"/>
      <c r="BM27" s="854"/>
      <c r="BN27" s="854"/>
      <c r="BO27" s="854"/>
      <c r="BP27" s="854"/>
      <c r="BQ27" s="854"/>
      <c r="BR27" s="854"/>
      <c r="BS27" s="854"/>
      <c r="BT27" s="854"/>
      <c r="BU27" s="854"/>
      <c r="BV27" s="854"/>
      <c r="BW27" s="854"/>
      <c r="BX27" s="854"/>
      <c r="BY27" s="854"/>
      <c r="BZ27" s="854"/>
      <c r="CA27" s="854"/>
      <c r="CB27" s="854"/>
      <c r="CC27" s="854"/>
      <c r="CD27" s="854"/>
      <c r="CE27" s="854"/>
      <c r="CF27" s="854"/>
      <c r="CG27" s="854"/>
      <c r="CH27" s="854"/>
      <c r="CI27" s="854"/>
      <c r="CJ27" s="854"/>
      <c r="CK27" s="854"/>
      <c r="CL27" s="854"/>
      <c r="CM27" s="854"/>
      <c r="CN27" s="854"/>
      <c r="CO27" s="854"/>
      <c r="CP27" s="854"/>
      <c r="CQ27" s="854"/>
      <c r="CR27" s="854"/>
      <c r="CS27" s="854"/>
      <c r="CT27" s="854"/>
      <c r="CU27" s="854"/>
      <c r="CV27" s="854"/>
      <c r="CW27" s="854"/>
      <c r="CX27" s="854"/>
      <c r="CY27" s="854"/>
      <c r="CZ27" s="854"/>
      <c r="DA27" s="854"/>
      <c r="DB27" s="854"/>
      <c r="DC27" s="854"/>
      <c r="DD27" s="854"/>
      <c r="DE27" s="854"/>
      <c r="DF27" s="854"/>
    </row>
    <row r="28" spans="1:110" ht="23.25">
      <c r="A28" s="855"/>
      <c r="B28" s="856"/>
      <c r="C28" s="857">
        <f t="shared" si="1"/>
        <v>0</v>
      </c>
      <c r="D28" s="858">
        <f t="shared" si="2"/>
        <v>0</v>
      </c>
      <c r="E28" s="858">
        <f t="shared" si="3"/>
        <v>0</v>
      </c>
      <c r="F28" s="858">
        <f t="shared" si="4"/>
        <v>0</v>
      </c>
      <c r="G28" s="858">
        <f t="shared" si="5"/>
      </c>
      <c r="H28" s="858">
        <f t="shared" si="5"/>
      </c>
      <c r="I28" s="858">
        <f t="shared" si="6"/>
      </c>
      <c r="J28" s="858">
        <f t="shared" si="7"/>
      </c>
      <c r="K28" s="858">
        <f t="shared" si="8"/>
        <v>1</v>
      </c>
      <c r="L28" s="858">
        <f t="shared" si="9"/>
        <v>3</v>
      </c>
      <c r="M28" s="858">
        <f t="shared" si="10"/>
        <v>5</v>
      </c>
      <c r="N28" s="858">
        <f t="shared" si="11"/>
      </c>
      <c r="O28" s="858">
        <f t="shared" si="12"/>
      </c>
      <c r="P28" s="858">
        <f t="shared" si="13"/>
      </c>
      <c r="Q28" s="858" t="str">
        <f t="shared" si="14"/>
        <v>Zero</v>
      </c>
      <c r="R28" s="854"/>
      <c r="S28" s="854"/>
      <c r="T28" s="854"/>
      <c r="U28" s="854"/>
      <c r="V28" s="854"/>
      <c r="W28" s="854"/>
      <c r="X28" s="854"/>
      <c r="Y28" s="854"/>
      <c r="Z28" s="854"/>
      <c r="AA28" s="854"/>
      <c r="AB28" s="854"/>
      <c r="AC28" s="854"/>
      <c r="AD28" s="854"/>
      <c r="AE28" s="854"/>
      <c r="AF28" s="854"/>
      <c r="AG28" s="854"/>
      <c r="AH28" s="854"/>
      <c r="AI28" s="854"/>
      <c r="AJ28" s="854"/>
      <c r="AK28" s="854"/>
      <c r="AL28" s="854"/>
      <c r="AM28" s="854"/>
      <c r="AN28" s="854"/>
      <c r="AO28" s="854"/>
      <c r="AP28" s="854"/>
      <c r="AQ28" s="854"/>
      <c r="AR28" s="854"/>
      <c r="AS28" s="854"/>
      <c r="AT28" s="854"/>
      <c r="AU28" s="854"/>
      <c r="AV28" s="854"/>
      <c r="AW28" s="854"/>
      <c r="AX28" s="854"/>
      <c r="AY28" s="854"/>
      <c r="AZ28" s="854"/>
      <c r="BA28" s="854"/>
      <c r="BB28" s="854"/>
      <c r="BC28" s="854"/>
      <c r="BD28" s="854"/>
      <c r="BE28" s="854"/>
      <c r="BF28" s="854"/>
      <c r="BG28" s="854"/>
      <c r="BH28" s="854"/>
      <c r="BI28" s="854"/>
      <c r="BJ28" s="854"/>
      <c r="BK28" s="854"/>
      <c r="BL28" s="854"/>
      <c r="BM28" s="854"/>
      <c r="BN28" s="854"/>
      <c r="BO28" s="854"/>
      <c r="BP28" s="854"/>
      <c r="BQ28" s="854"/>
      <c r="BR28" s="854"/>
      <c r="BS28" s="854"/>
      <c r="BT28" s="854"/>
      <c r="BU28" s="854"/>
      <c r="BV28" s="854"/>
      <c r="BW28" s="854"/>
      <c r="BX28" s="854"/>
      <c r="BY28" s="854"/>
      <c r="BZ28" s="854"/>
      <c r="CA28" s="854"/>
      <c r="CB28" s="854"/>
      <c r="CC28" s="854"/>
      <c r="CD28" s="854"/>
      <c r="CE28" s="854"/>
      <c r="CF28" s="854"/>
      <c r="CG28" s="854"/>
      <c r="CH28" s="854"/>
      <c r="CI28" s="854"/>
      <c r="CJ28" s="854"/>
      <c r="CK28" s="854"/>
      <c r="CL28" s="854"/>
      <c r="CM28" s="854"/>
      <c r="CN28" s="854"/>
      <c r="CO28" s="854"/>
      <c r="CP28" s="854"/>
      <c r="CQ28" s="854"/>
      <c r="CR28" s="854"/>
      <c r="CS28" s="854"/>
      <c r="CT28" s="854"/>
      <c r="CU28" s="854"/>
      <c r="CV28" s="854"/>
      <c r="CW28" s="854"/>
      <c r="CX28" s="854"/>
      <c r="CY28" s="854"/>
      <c r="CZ28" s="854"/>
      <c r="DA28" s="854"/>
      <c r="DB28" s="854"/>
      <c r="DC28" s="854"/>
      <c r="DD28" s="854"/>
      <c r="DE28" s="854"/>
      <c r="DF28" s="854"/>
    </row>
    <row r="29" spans="1:110" ht="23.25">
      <c r="A29" s="855"/>
      <c r="B29" s="856"/>
      <c r="C29" s="857">
        <f t="shared" si="1"/>
        <v>0</v>
      </c>
      <c r="D29" s="858">
        <f t="shared" si="2"/>
        <v>0</v>
      </c>
      <c r="E29" s="858">
        <f t="shared" si="3"/>
        <v>0</v>
      </c>
      <c r="F29" s="858">
        <f t="shared" si="4"/>
        <v>0</v>
      </c>
      <c r="G29" s="858">
        <f t="shared" si="5"/>
      </c>
      <c r="H29" s="858">
        <f t="shared" si="5"/>
      </c>
      <c r="I29" s="858">
        <f t="shared" si="6"/>
      </c>
      <c r="J29" s="858">
        <f t="shared" si="7"/>
      </c>
      <c r="K29" s="858">
        <f t="shared" si="8"/>
        <v>1</v>
      </c>
      <c r="L29" s="858">
        <f t="shared" si="9"/>
        <v>3</v>
      </c>
      <c r="M29" s="858">
        <f t="shared" si="10"/>
        <v>5</v>
      </c>
      <c r="N29" s="858">
        <f t="shared" si="11"/>
      </c>
      <c r="O29" s="858">
        <f t="shared" si="12"/>
      </c>
      <c r="P29" s="858">
        <f t="shared" si="13"/>
      </c>
      <c r="Q29" s="858" t="str">
        <f t="shared" si="14"/>
        <v>Zero</v>
      </c>
      <c r="R29" s="854"/>
      <c r="S29" s="854"/>
      <c r="T29" s="854"/>
      <c r="U29" s="854"/>
      <c r="V29" s="854"/>
      <c r="W29" s="854"/>
      <c r="X29" s="854"/>
      <c r="Y29" s="854"/>
      <c r="Z29" s="854"/>
      <c r="AA29" s="854"/>
      <c r="AB29" s="854"/>
      <c r="AC29" s="854"/>
      <c r="AD29" s="854"/>
      <c r="AE29" s="854"/>
      <c r="AF29" s="854"/>
      <c r="AG29" s="854"/>
      <c r="AH29" s="854"/>
      <c r="AI29" s="854"/>
      <c r="AJ29" s="854"/>
      <c r="AK29" s="854"/>
      <c r="AL29" s="854"/>
      <c r="AM29" s="854"/>
      <c r="AN29" s="854"/>
      <c r="AO29" s="854"/>
      <c r="AP29" s="854"/>
      <c r="AQ29" s="854"/>
      <c r="AR29" s="854"/>
      <c r="AS29" s="854"/>
      <c r="AT29" s="854"/>
      <c r="AU29" s="854"/>
      <c r="AV29" s="854"/>
      <c r="AW29" s="854"/>
      <c r="AX29" s="854"/>
      <c r="AY29" s="854"/>
      <c r="AZ29" s="854"/>
      <c r="BA29" s="854"/>
      <c r="BB29" s="854"/>
      <c r="BC29" s="854"/>
      <c r="BD29" s="854"/>
      <c r="BE29" s="854"/>
      <c r="BF29" s="854"/>
      <c r="BG29" s="854"/>
      <c r="BH29" s="854"/>
      <c r="BI29" s="854"/>
      <c r="BJ29" s="854"/>
      <c r="BK29" s="854"/>
      <c r="BL29" s="854"/>
      <c r="BM29" s="854"/>
      <c r="BN29" s="854"/>
      <c r="BO29" s="854"/>
      <c r="BP29" s="854"/>
      <c r="BQ29" s="854"/>
      <c r="BR29" s="854"/>
      <c r="BS29" s="854"/>
      <c r="BT29" s="854"/>
      <c r="BU29" s="854"/>
      <c r="BV29" s="854"/>
      <c r="BW29" s="854"/>
      <c r="BX29" s="854"/>
      <c r="BY29" s="854"/>
      <c r="BZ29" s="854"/>
      <c r="CA29" s="854"/>
      <c r="CB29" s="854"/>
      <c r="CC29" s="854"/>
      <c r="CD29" s="854"/>
      <c r="CE29" s="854"/>
      <c r="CF29" s="854"/>
      <c r="CG29" s="854"/>
      <c r="CH29" s="854"/>
      <c r="CI29" s="854"/>
      <c r="CJ29" s="854"/>
      <c r="CK29" s="854"/>
      <c r="CL29" s="854"/>
      <c r="CM29" s="854"/>
      <c r="CN29" s="854"/>
      <c r="CO29" s="854"/>
      <c r="CP29" s="854"/>
      <c r="CQ29" s="854"/>
      <c r="CR29" s="854"/>
      <c r="CS29" s="854"/>
      <c r="CT29" s="854"/>
      <c r="CU29" s="854"/>
      <c r="CV29" s="854"/>
      <c r="CW29" s="854"/>
      <c r="CX29" s="854"/>
      <c r="CY29" s="854"/>
      <c r="CZ29" s="854"/>
      <c r="DA29" s="854"/>
      <c r="DB29" s="854"/>
      <c r="DC29" s="854"/>
      <c r="DD29" s="854"/>
      <c r="DE29" s="854"/>
      <c r="DF29" s="854"/>
    </row>
    <row r="30" spans="1:110" ht="23.25">
      <c r="A30" s="855"/>
      <c r="B30" s="856"/>
      <c r="C30" s="857">
        <f t="shared" si="1"/>
        <v>0</v>
      </c>
      <c r="D30" s="858">
        <f t="shared" si="2"/>
        <v>0</v>
      </c>
      <c r="E30" s="858">
        <f t="shared" si="3"/>
        <v>0</v>
      </c>
      <c r="F30" s="858">
        <f t="shared" si="4"/>
        <v>0</v>
      </c>
      <c r="G30" s="858">
        <f t="shared" si="5"/>
      </c>
      <c r="H30" s="858">
        <f t="shared" si="5"/>
      </c>
      <c r="I30" s="858">
        <f t="shared" si="6"/>
      </c>
      <c r="J30" s="858">
        <f t="shared" si="7"/>
      </c>
      <c r="K30" s="858">
        <f t="shared" si="8"/>
        <v>1</v>
      </c>
      <c r="L30" s="858">
        <f t="shared" si="9"/>
        <v>3</v>
      </c>
      <c r="M30" s="858">
        <f t="shared" si="10"/>
        <v>5</v>
      </c>
      <c r="N30" s="858">
        <f t="shared" si="11"/>
      </c>
      <c r="O30" s="858">
        <f t="shared" si="12"/>
      </c>
      <c r="P30" s="858">
        <f t="shared" si="13"/>
      </c>
      <c r="Q30" s="858" t="str">
        <f t="shared" si="14"/>
        <v>Zero</v>
      </c>
      <c r="R30" s="854"/>
      <c r="S30" s="854"/>
      <c r="T30" s="854"/>
      <c r="U30" s="854"/>
      <c r="V30" s="854"/>
      <c r="W30" s="854"/>
      <c r="X30" s="854"/>
      <c r="Y30" s="854"/>
      <c r="Z30" s="854"/>
      <c r="AA30" s="854"/>
      <c r="AB30" s="854"/>
      <c r="AC30" s="854"/>
      <c r="AD30" s="854"/>
      <c r="AE30" s="854"/>
      <c r="AF30" s="854"/>
      <c r="AG30" s="854"/>
      <c r="AH30" s="854"/>
      <c r="AI30" s="854"/>
      <c r="AJ30" s="854"/>
      <c r="AK30" s="854"/>
      <c r="AL30" s="854"/>
      <c r="AM30" s="854"/>
      <c r="AN30" s="854"/>
      <c r="AO30" s="854"/>
      <c r="AP30" s="854"/>
      <c r="AQ30" s="854"/>
      <c r="AR30" s="854"/>
      <c r="AS30" s="854"/>
      <c r="AT30" s="854"/>
      <c r="AU30" s="854"/>
      <c r="AV30" s="854"/>
      <c r="AW30" s="854"/>
      <c r="AX30" s="854"/>
      <c r="AY30" s="854"/>
      <c r="AZ30" s="854"/>
      <c r="BA30" s="854"/>
      <c r="BB30" s="854"/>
      <c r="BC30" s="854"/>
      <c r="BD30" s="854"/>
      <c r="BE30" s="854"/>
      <c r="BF30" s="854"/>
      <c r="BG30" s="854"/>
      <c r="BH30" s="854"/>
      <c r="BI30" s="854"/>
      <c r="BJ30" s="854"/>
      <c r="BK30" s="854"/>
      <c r="BL30" s="854"/>
      <c r="BM30" s="854"/>
      <c r="BN30" s="854"/>
      <c r="BO30" s="854"/>
      <c r="BP30" s="854"/>
      <c r="BQ30" s="854"/>
      <c r="BR30" s="854"/>
      <c r="BS30" s="854"/>
      <c r="BT30" s="854"/>
      <c r="BU30" s="854"/>
      <c r="BV30" s="854"/>
      <c r="BW30" s="854"/>
      <c r="BX30" s="854"/>
      <c r="BY30" s="854"/>
      <c r="BZ30" s="854"/>
      <c r="CA30" s="854"/>
      <c r="CB30" s="854"/>
      <c r="CC30" s="854"/>
      <c r="CD30" s="854"/>
      <c r="CE30" s="854"/>
      <c r="CF30" s="854"/>
      <c r="CG30" s="854"/>
      <c r="CH30" s="854"/>
      <c r="CI30" s="854"/>
      <c r="CJ30" s="854"/>
      <c r="CK30" s="854"/>
      <c r="CL30" s="854"/>
      <c r="CM30" s="854"/>
      <c r="CN30" s="854"/>
      <c r="CO30" s="854"/>
      <c r="CP30" s="854"/>
      <c r="CQ30" s="854"/>
      <c r="CR30" s="854"/>
      <c r="CS30" s="854"/>
      <c r="CT30" s="854"/>
      <c r="CU30" s="854"/>
      <c r="CV30" s="854"/>
      <c r="CW30" s="854"/>
      <c r="CX30" s="854"/>
      <c r="CY30" s="854"/>
      <c r="CZ30" s="854"/>
      <c r="DA30" s="854"/>
      <c r="DB30" s="854"/>
      <c r="DC30" s="854"/>
      <c r="DD30" s="854"/>
      <c r="DE30" s="854"/>
      <c r="DF30" s="854"/>
    </row>
    <row r="31" spans="1:110" ht="23.25">
      <c r="A31" s="855"/>
      <c r="B31" s="856">
        <f t="shared" si="0"/>
      </c>
      <c r="C31" s="857">
        <f t="shared" si="1"/>
        <v>0</v>
      </c>
      <c r="D31" s="858">
        <f t="shared" si="2"/>
        <v>0</v>
      </c>
      <c r="E31" s="858">
        <f t="shared" si="3"/>
        <v>0</v>
      </c>
      <c r="F31" s="858">
        <f t="shared" si="4"/>
        <v>0</v>
      </c>
      <c r="G31" s="858">
        <f t="shared" si="5"/>
      </c>
      <c r="H31" s="858">
        <f t="shared" si="5"/>
      </c>
      <c r="I31" s="858">
        <f t="shared" si="6"/>
      </c>
      <c r="J31" s="858">
        <f t="shared" si="7"/>
      </c>
      <c r="K31" s="858">
        <f t="shared" si="8"/>
        <v>1</v>
      </c>
      <c r="L31" s="858">
        <f t="shared" si="9"/>
        <v>3</v>
      </c>
      <c r="M31" s="858">
        <f t="shared" si="10"/>
        <v>5</v>
      </c>
      <c r="N31" s="858">
        <f t="shared" si="11"/>
      </c>
      <c r="O31" s="858">
        <f t="shared" si="12"/>
      </c>
      <c r="P31" s="858">
        <f t="shared" si="13"/>
      </c>
      <c r="Q31" s="858" t="str">
        <f t="shared" si="14"/>
        <v>Zero</v>
      </c>
      <c r="R31" s="854"/>
      <c r="S31" s="854"/>
      <c r="T31" s="854"/>
      <c r="U31" s="854"/>
      <c r="V31" s="854"/>
      <c r="W31" s="854"/>
      <c r="X31" s="854"/>
      <c r="Y31" s="854"/>
      <c r="Z31" s="854"/>
      <c r="AA31" s="854"/>
      <c r="AB31" s="854"/>
      <c r="AC31" s="854"/>
      <c r="AD31" s="854"/>
      <c r="AE31" s="854"/>
      <c r="AF31" s="854"/>
      <c r="AG31" s="854"/>
      <c r="AH31" s="854"/>
      <c r="AI31" s="854"/>
      <c r="AJ31" s="854"/>
      <c r="AK31" s="854"/>
      <c r="AL31" s="854"/>
      <c r="AM31" s="854"/>
      <c r="AN31" s="854"/>
      <c r="AO31" s="854"/>
      <c r="AP31" s="854"/>
      <c r="AQ31" s="854"/>
      <c r="AR31" s="854"/>
      <c r="AS31" s="854"/>
      <c r="AT31" s="854"/>
      <c r="AU31" s="854"/>
      <c r="AV31" s="854"/>
      <c r="AW31" s="854"/>
      <c r="AX31" s="854"/>
      <c r="AY31" s="854"/>
      <c r="AZ31" s="854"/>
      <c r="BA31" s="854"/>
      <c r="BB31" s="854"/>
      <c r="BC31" s="854"/>
      <c r="BD31" s="854"/>
      <c r="BE31" s="854"/>
      <c r="BF31" s="854"/>
      <c r="BG31" s="854"/>
      <c r="BH31" s="854"/>
      <c r="BI31" s="854"/>
      <c r="BJ31" s="854"/>
      <c r="BK31" s="854"/>
      <c r="BL31" s="854"/>
      <c r="BM31" s="854"/>
      <c r="BN31" s="854"/>
      <c r="BO31" s="854"/>
      <c r="BP31" s="854"/>
      <c r="BQ31" s="854"/>
      <c r="BR31" s="854"/>
      <c r="BS31" s="854"/>
      <c r="BT31" s="854"/>
      <c r="BU31" s="854"/>
      <c r="BV31" s="854"/>
      <c r="BW31" s="854"/>
      <c r="BX31" s="854"/>
      <c r="BY31" s="854"/>
      <c r="BZ31" s="854"/>
      <c r="CA31" s="854"/>
      <c r="CB31" s="854"/>
      <c r="CC31" s="854"/>
      <c r="CD31" s="854"/>
      <c r="CE31" s="854"/>
      <c r="CF31" s="854"/>
      <c r="CG31" s="854"/>
      <c r="CH31" s="854"/>
      <c r="CI31" s="854"/>
      <c r="CJ31" s="854"/>
      <c r="CK31" s="854"/>
      <c r="CL31" s="854"/>
      <c r="CM31" s="854"/>
      <c r="CN31" s="854"/>
      <c r="CO31" s="854"/>
      <c r="CP31" s="854"/>
      <c r="CQ31" s="854"/>
      <c r="CR31" s="854"/>
      <c r="CS31" s="854"/>
      <c r="CT31" s="854"/>
      <c r="CU31" s="854"/>
      <c r="CV31" s="854"/>
      <c r="CW31" s="854"/>
      <c r="CX31" s="854"/>
      <c r="CY31" s="854"/>
      <c r="CZ31" s="854"/>
      <c r="DA31" s="854"/>
      <c r="DB31" s="854"/>
      <c r="DC31" s="854"/>
      <c r="DD31" s="854"/>
      <c r="DE31" s="854"/>
      <c r="DF31" s="854"/>
    </row>
    <row r="32" spans="1:110" ht="23.25">
      <c r="A32" s="855"/>
      <c r="B32" s="856">
        <f t="shared" si="0"/>
      </c>
      <c r="C32" s="857">
        <f t="shared" si="1"/>
        <v>0</v>
      </c>
      <c r="D32" s="858">
        <f t="shared" si="2"/>
        <v>0</v>
      </c>
      <c r="E32" s="858">
        <f t="shared" si="3"/>
        <v>0</v>
      </c>
      <c r="F32" s="858">
        <f t="shared" si="4"/>
        <v>0</v>
      </c>
      <c r="G32" s="858">
        <f t="shared" si="5"/>
      </c>
      <c r="H32" s="858">
        <f t="shared" si="5"/>
      </c>
      <c r="I32" s="858">
        <f t="shared" si="6"/>
      </c>
      <c r="J32" s="858">
        <f t="shared" si="7"/>
      </c>
      <c r="K32" s="858">
        <f t="shared" si="8"/>
        <v>1</v>
      </c>
      <c r="L32" s="858">
        <f t="shared" si="9"/>
        <v>3</v>
      </c>
      <c r="M32" s="858">
        <f t="shared" si="10"/>
        <v>5</v>
      </c>
      <c r="N32" s="858">
        <f t="shared" si="11"/>
      </c>
      <c r="O32" s="858">
        <f t="shared" si="12"/>
      </c>
      <c r="P32" s="858">
        <f t="shared" si="13"/>
      </c>
      <c r="Q32" s="858" t="str">
        <f t="shared" si="14"/>
        <v>Zero</v>
      </c>
      <c r="R32" s="854"/>
      <c r="S32" s="854"/>
      <c r="T32" s="854"/>
      <c r="U32" s="854"/>
      <c r="V32" s="854"/>
      <c r="W32" s="854"/>
      <c r="X32" s="854"/>
      <c r="Y32" s="854"/>
      <c r="Z32" s="854"/>
      <c r="AA32" s="854"/>
      <c r="AB32" s="854"/>
      <c r="AC32" s="854"/>
      <c r="AD32" s="854"/>
      <c r="AE32" s="854"/>
      <c r="AF32" s="854"/>
      <c r="AG32" s="854"/>
      <c r="AH32" s="854"/>
      <c r="AI32" s="854"/>
      <c r="AJ32" s="854"/>
      <c r="AK32" s="854"/>
      <c r="AL32" s="854"/>
      <c r="AM32" s="854"/>
      <c r="AN32" s="854"/>
      <c r="AO32" s="854"/>
      <c r="AP32" s="854"/>
      <c r="AQ32" s="854"/>
      <c r="AR32" s="854"/>
      <c r="AS32" s="854"/>
      <c r="AT32" s="854"/>
      <c r="AU32" s="854"/>
      <c r="AV32" s="854"/>
      <c r="AW32" s="854"/>
      <c r="AX32" s="854"/>
      <c r="AY32" s="854"/>
      <c r="AZ32" s="854"/>
      <c r="BA32" s="854"/>
      <c r="BB32" s="854"/>
      <c r="BC32" s="854"/>
      <c r="BD32" s="854"/>
      <c r="BE32" s="854"/>
      <c r="BF32" s="854"/>
      <c r="BG32" s="854"/>
      <c r="BH32" s="854"/>
      <c r="BI32" s="854"/>
      <c r="BJ32" s="854"/>
      <c r="BK32" s="854"/>
      <c r="BL32" s="854"/>
      <c r="BM32" s="854"/>
      <c r="BN32" s="854"/>
      <c r="BO32" s="854"/>
      <c r="BP32" s="854"/>
      <c r="BQ32" s="854"/>
      <c r="BR32" s="854"/>
      <c r="BS32" s="854"/>
      <c r="BT32" s="854"/>
      <c r="BU32" s="854"/>
      <c r="BV32" s="854"/>
      <c r="BW32" s="854"/>
      <c r="BX32" s="854"/>
      <c r="BY32" s="854"/>
      <c r="BZ32" s="854"/>
      <c r="CA32" s="854"/>
      <c r="CB32" s="854"/>
      <c r="CC32" s="854"/>
      <c r="CD32" s="854"/>
      <c r="CE32" s="854"/>
      <c r="CF32" s="854"/>
      <c r="CG32" s="854"/>
      <c r="CH32" s="854"/>
      <c r="CI32" s="854"/>
      <c r="CJ32" s="854"/>
      <c r="CK32" s="854"/>
      <c r="CL32" s="854"/>
      <c r="CM32" s="854"/>
      <c r="CN32" s="854"/>
      <c r="CO32" s="854"/>
      <c r="CP32" s="854"/>
      <c r="CQ32" s="854"/>
      <c r="CR32" s="854"/>
      <c r="CS32" s="854"/>
      <c r="CT32" s="854"/>
      <c r="CU32" s="854"/>
      <c r="CV32" s="854"/>
      <c r="CW32" s="854"/>
      <c r="CX32" s="854"/>
      <c r="CY32" s="854"/>
      <c r="CZ32" s="854"/>
      <c r="DA32" s="854"/>
      <c r="DB32" s="854"/>
      <c r="DC32" s="854"/>
      <c r="DD32" s="854"/>
      <c r="DE32" s="854"/>
      <c r="DF32" s="854"/>
    </row>
    <row r="33" spans="1:110" ht="23.25">
      <c r="A33" s="855"/>
      <c r="B33" s="856">
        <f t="shared" si="0"/>
      </c>
      <c r="C33" s="857">
        <f t="shared" si="1"/>
        <v>0</v>
      </c>
      <c r="D33" s="858">
        <f t="shared" si="2"/>
        <v>0</v>
      </c>
      <c r="E33" s="858">
        <f t="shared" si="3"/>
        <v>0</v>
      </c>
      <c r="F33" s="858">
        <f t="shared" si="4"/>
        <v>0</v>
      </c>
      <c r="G33" s="858">
        <f t="shared" si="5"/>
      </c>
      <c r="H33" s="858">
        <f t="shared" si="5"/>
      </c>
      <c r="I33" s="858">
        <f t="shared" si="6"/>
      </c>
      <c r="J33" s="858">
        <f t="shared" si="7"/>
      </c>
      <c r="K33" s="858">
        <f t="shared" si="8"/>
        <v>1</v>
      </c>
      <c r="L33" s="858">
        <f t="shared" si="9"/>
        <v>3</v>
      </c>
      <c r="M33" s="858">
        <f t="shared" si="10"/>
        <v>5</v>
      </c>
      <c r="N33" s="858">
        <f t="shared" si="11"/>
      </c>
      <c r="O33" s="858">
        <f t="shared" si="12"/>
      </c>
      <c r="P33" s="858">
        <f t="shared" si="13"/>
      </c>
      <c r="Q33" s="858" t="str">
        <f t="shared" si="14"/>
        <v>Zero</v>
      </c>
      <c r="R33" s="854"/>
      <c r="S33" s="854"/>
      <c r="T33" s="854"/>
      <c r="U33" s="854"/>
      <c r="V33" s="854"/>
      <c r="W33" s="854"/>
      <c r="X33" s="854"/>
      <c r="Y33" s="854"/>
      <c r="Z33" s="854"/>
      <c r="AA33" s="854"/>
      <c r="AB33" s="854"/>
      <c r="AC33" s="854"/>
      <c r="AD33" s="854"/>
      <c r="AE33" s="854"/>
      <c r="AF33" s="854"/>
      <c r="AG33" s="854"/>
      <c r="AH33" s="854"/>
      <c r="AI33" s="854"/>
      <c r="AJ33" s="854"/>
      <c r="AK33" s="854"/>
      <c r="AL33" s="854"/>
      <c r="AM33" s="854"/>
      <c r="AN33" s="854"/>
      <c r="AO33" s="854"/>
      <c r="AP33" s="854"/>
      <c r="AQ33" s="854"/>
      <c r="AR33" s="854"/>
      <c r="AS33" s="854"/>
      <c r="AT33" s="854"/>
      <c r="AU33" s="854"/>
      <c r="AV33" s="854"/>
      <c r="AW33" s="854"/>
      <c r="AX33" s="854"/>
      <c r="AY33" s="854"/>
      <c r="AZ33" s="854"/>
      <c r="BA33" s="854"/>
      <c r="BB33" s="854"/>
      <c r="BC33" s="854"/>
      <c r="BD33" s="854"/>
      <c r="BE33" s="854"/>
      <c r="BF33" s="854"/>
      <c r="BG33" s="854"/>
      <c r="BH33" s="854"/>
      <c r="BI33" s="854"/>
      <c r="BJ33" s="854"/>
      <c r="BK33" s="854"/>
      <c r="BL33" s="854"/>
      <c r="BM33" s="854"/>
      <c r="BN33" s="854"/>
      <c r="BO33" s="854"/>
      <c r="BP33" s="854"/>
      <c r="BQ33" s="854"/>
      <c r="BR33" s="854"/>
      <c r="BS33" s="854"/>
      <c r="BT33" s="854"/>
      <c r="BU33" s="854"/>
      <c r="BV33" s="854"/>
      <c r="BW33" s="854"/>
      <c r="BX33" s="854"/>
      <c r="BY33" s="854"/>
      <c r="BZ33" s="854"/>
      <c r="CA33" s="854"/>
      <c r="CB33" s="854"/>
      <c r="CC33" s="854"/>
      <c r="CD33" s="854"/>
      <c r="CE33" s="854"/>
      <c r="CF33" s="854"/>
      <c r="CG33" s="854"/>
      <c r="CH33" s="854"/>
      <c r="CI33" s="854"/>
      <c r="CJ33" s="854"/>
      <c r="CK33" s="854"/>
      <c r="CL33" s="854"/>
      <c r="CM33" s="854"/>
      <c r="CN33" s="854"/>
      <c r="CO33" s="854"/>
      <c r="CP33" s="854"/>
      <c r="CQ33" s="854"/>
      <c r="CR33" s="854"/>
      <c r="CS33" s="854"/>
      <c r="CT33" s="854"/>
      <c r="CU33" s="854"/>
      <c r="CV33" s="854"/>
      <c r="CW33" s="854"/>
      <c r="CX33" s="854"/>
      <c r="CY33" s="854"/>
      <c r="CZ33" s="854"/>
      <c r="DA33" s="854"/>
      <c r="DB33" s="854"/>
      <c r="DC33" s="854"/>
      <c r="DD33" s="854"/>
      <c r="DE33" s="854"/>
      <c r="DF33" s="854"/>
    </row>
    <row r="34" spans="1:110" ht="23.25">
      <c r="A34" s="859">
        <f>'it pro'!K164</f>
        <v>75600</v>
      </c>
      <c r="B34" s="856" t="str">
        <f t="shared" si="0"/>
        <v>(Seventy five Thousand Six Hundred rupees only)</v>
      </c>
      <c r="C34" s="857">
        <f t="shared" si="1"/>
        <v>0</v>
      </c>
      <c r="D34" s="858">
        <f t="shared" si="2"/>
        <v>75</v>
      </c>
      <c r="E34" s="858">
        <f t="shared" si="3"/>
        <v>6</v>
      </c>
      <c r="F34" s="858">
        <f t="shared" si="4"/>
        <v>0</v>
      </c>
      <c r="G34" s="858">
        <f t="shared" si="5"/>
      </c>
      <c r="H34" s="858" t="str">
        <f t="shared" si="5"/>
        <v>Seventy five</v>
      </c>
      <c r="I34" s="858" t="str">
        <f t="shared" si="6"/>
        <v>Six</v>
      </c>
      <c r="J34" s="858">
        <f t="shared" si="7"/>
      </c>
      <c r="K34" s="858">
        <f t="shared" si="8"/>
        <v>2</v>
      </c>
      <c r="L34" s="858">
        <f t="shared" si="9"/>
        <v>3</v>
      </c>
      <c r="M34" s="858">
        <f t="shared" si="10"/>
        <v>5</v>
      </c>
      <c r="N34" s="858">
        <f t="shared" si="11"/>
      </c>
      <c r="O34" s="858" t="str">
        <f t="shared" si="12"/>
        <v> Thousand </v>
      </c>
      <c r="P34" s="858" t="str">
        <f t="shared" si="13"/>
        <v> Hundred </v>
      </c>
      <c r="Q34" s="858" t="str">
        <f t="shared" si="14"/>
        <v>Seventy five Thousand Six Hundred</v>
      </c>
      <c r="R34" s="854"/>
      <c r="S34" s="854"/>
      <c r="T34" s="854"/>
      <c r="U34" s="854"/>
      <c r="V34" s="854"/>
      <c r="W34" s="854"/>
      <c r="X34" s="854"/>
      <c r="Y34" s="854"/>
      <c r="Z34" s="854"/>
      <c r="AA34" s="854"/>
      <c r="AB34" s="854"/>
      <c r="AC34" s="854"/>
      <c r="AD34" s="854"/>
      <c r="AE34" s="854"/>
      <c r="AF34" s="854"/>
      <c r="AG34" s="854"/>
      <c r="AH34" s="854"/>
      <c r="AI34" s="854"/>
      <c r="AJ34" s="854"/>
      <c r="AK34" s="854"/>
      <c r="AL34" s="854"/>
      <c r="AM34" s="854"/>
      <c r="AN34" s="854"/>
      <c r="AO34" s="854"/>
      <c r="AP34" s="854"/>
      <c r="AQ34" s="854"/>
      <c r="AR34" s="854"/>
      <c r="AS34" s="854"/>
      <c r="AT34" s="854"/>
      <c r="AU34" s="854"/>
      <c r="AV34" s="854"/>
      <c r="AW34" s="854"/>
      <c r="AX34" s="854"/>
      <c r="AY34" s="854"/>
      <c r="AZ34" s="854"/>
      <c r="BA34" s="854"/>
      <c r="BB34" s="854"/>
      <c r="BC34" s="854"/>
      <c r="BD34" s="854"/>
      <c r="BE34" s="854"/>
      <c r="BF34" s="854"/>
      <c r="BG34" s="854"/>
      <c r="BH34" s="854"/>
      <c r="BI34" s="854"/>
      <c r="BJ34" s="854"/>
      <c r="BK34" s="854"/>
      <c r="BL34" s="854"/>
      <c r="BM34" s="854"/>
      <c r="BN34" s="854"/>
      <c r="BO34" s="854"/>
      <c r="BP34" s="854"/>
      <c r="BQ34" s="854"/>
      <c r="BR34" s="854"/>
      <c r="BS34" s="854"/>
      <c r="BT34" s="854"/>
      <c r="BU34" s="854"/>
      <c r="BV34" s="854"/>
      <c r="BW34" s="854"/>
      <c r="BX34" s="854"/>
      <c r="BY34" s="854"/>
      <c r="BZ34" s="854"/>
      <c r="CA34" s="854"/>
      <c r="CB34" s="854"/>
      <c r="CC34" s="854"/>
      <c r="CD34" s="854"/>
      <c r="CE34" s="854"/>
      <c r="CF34" s="854"/>
      <c r="CG34" s="854"/>
      <c r="CH34" s="854"/>
      <c r="CI34" s="854"/>
      <c r="CJ34" s="854"/>
      <c r="CK34" s="854"/>
      <c r="CL34" s="854"/>
      <c r="CM34" s="854"/>
      <c r="CN34" s="854"/>
      <c r="CO34" s="854"/>
      <c r="CP34" s="854"/>
      <c r="CQ34" s="854"/>
      <c r="CR34" s="854"/>
      <c r="CS34" s="854"/>
      <c r="CT34" s="854"/>
      <c r="CU34" s="854"/>
      <c r="CV34" s="854"/>
      <c r="CW34" s="854"/>
      <c r="CX34" s="854"/>
      <c r="CY34" s="854"/>
      <c r="CZ34" s="854"/>
      <c r="DA34" s="854"/>
      <c r="DB34" s="854"/>
      <c r="DC34" s="854"/>
      <c r="DD34" s="854"/>
      <c r="DE34" s="854"/>
      <c r="DF34" s="854"/>
    </row>
    <row r="35" spans="1:110" ht="23.25">
      <c r="A35" s="855"/>
      <c r="B35" s="856">
        <f t="shared" si="0"/>
      </c>
      <c r="C35" s="857">
        <f t="shared" si="1"/>
        <v>0</v>
      </c>
      <c r="D35" s="858">
        <f t="shared" si="2"/>
        <v>0</v>
      </c>
      <c r="E35" s="858">
        <f t="shared" si="3"/>
        <v>0</v>
      </c>
      <c r="F35" s="858">
        <f t="shared" si="4"/>
        <v>0</v>
      </c>
      <c r="G35" s="858">
        <f t="shared" si="5"/>
      </c>
      <c r="H35" s="858">
        <f t="shared" si="5"/>
      </c>
      <c r="I35" s="858">
        <f t="shared" si="6"/>
      </c>
      <c r="J35" s="858">
        <f t="shared" si="7"/>
      </c>
      <c r="K35" s="858">
        <f t="shared" si="8"/>
        <v>1</v>
      </c>
      <c r="L35" s="858">
        <f t="shared" si="9"/>
        <v>3</v>
      </c>
      <c r="M35" s="858">
        <f t="shared" si="10"/>
        <v>5</v>
      </c>
      <c r="N35" s="858">
        <f t="shared" si="11"/>
      </c>
      <c r="O35" s="858">
        <f t="shared" si="12"/>
      </c>
      <c r="P35" s="858">
        <f t="shared" si="13"/>
      </c>
      <c r="Q35" s="858" t="str">
        <f t="shared" si="14"/>
        <v>Zero</v>
      </c>
      <c r="R35" s="854"/>
      <c r="S35" s="854"/>
      <c r="T35" s="854"/>
      <c r="U35" s="854"/>
      <c r="V35" s="854"/>
      <c r="W35" s="854"/>
      <c r="X35" s="854"/>
      <c r="Y35" s="854"/>
      <c r="Z35" s="854"/>
      <c r="AA35" s="854"/>
      <c r="AB35" s="854"/>
      <c r="AC35" s="854"/>
      <c r="AD35" s="854"/>
      <c r="AE35" s="854"/>
      <c r="AF35" s="854"/>
      <c r="AG35" s="854"/>
      <c r="AH35" s="854"/>
      <c r="AI35" s="854"/>
      <c r="AJ35" s="854"/>
      <c r="AK35" s="854"/>
      <c r="AL35" s="854"/>
      <c r="AM35" s="854"/>
      <c r="AN35" s="854"/>
      <c r="AO35" s="854"/>
      <c r="AP35" s="854"/>
      <c r="AQ35" s="854"/>
      <c r="AR35" s="854"/>
      <c r="AS35" s="854"/>
      <c r="AT35" s="854"/>
      <c r="AU35" s="854"/>
      <c r="AV35" s="854"/>
      <c r="AW35" s="854"/>
      <c r="AX35" s="854"/>
      <c r="AY35" s="854"/>
      <c r="AZ35" s="854"/>
      <c r="BA35" s="854"/>
      <c r="BB35" s="854"/>
      <c r="BC35" s="854"/>
      <c r="BD35" s="854"/>
      <c r="BE35" s="854"/>
      <c r="BF35" s="854"/>
      <c r="BG35" s="854"/>
      <c r="BH35" s="854"/>
      <c r="BI35" s="854"/>
      <c r="BJ35" s="854"/>
      <c r="BK35" s="854"/>
      <c r="BL35" s="854"/>
      <c r="BM35" s="854"/>
      <c r="BN35" s="854"/>
      <c r="BO35" s="854"/>
      <c r="BP35" s="854"/>
      <c r="BQ35" s="854"/>
      <c r="BR35" s="854"/>
      <c r="BS35" s="854"/>
      <c r="BT35" s="854"/>
      <c r="BU35" s="854"/>
      <c r="BV35" s="854"/>
      <c r="BW35" s="854"/>
      <c r="BX35" s="854"/>
      <c r="BY35" s="854"/>
      <c r="BZ35" s="854"/>
      <c r="CA35" s="854"/>
      <c r="CB35" s="854"/>
      <c r="CC35" s="854"/>
      <c r="CD35" s="854"/>
      <c r="CE35" s="854"/>
      <c r="CF35" s="854"/>
      <c r="CG35" s="854"/>
      <c r="CH35" s="854"/>
      <c r="CI35" s="854"/>
      <c r="CJ35" s="854"/>
      <c r="CK35" s="854"/>
      <c r="CL35" s="854"/>
      <c r="CM35" s="854"/>
      <c r="CN35" s="854"/>
      <c r="CO35" s="854"/>
      <c r="CP35" s="854"/>
      <c r="CQ35" s="854"/>
      <c r="CR35" s="854"/>
      <c r="CS35" s="854"/>
      <c r="CT35" s="854"/>
      <c r="CU35" s="854"/>
      <c r="CV35" s="854"/>
      <c r="CW35" s="854"/>
      <c r="CX35" s="854"/>
      <c r="CY35" s="854"/>
      <c r="CZ35" s="854"/>
      <c r="DA35" s="854"/>
      <c r="DB35" s="854"/>
      <c r="DC35" s="854"/>
      <c r="DD35" s="854"/>
      <c r="DE35" s="854"/>
      <c r="DF35" s="854"/>
    </row>
    <row r="36" spans="1:110" ht="23.25">
      <c r="A36" s="860">
        <f>'it pro'!J195</f>
        <v>23283</v>
      </c>
      <c r="B36" s="856" t="str">
        <f t="shared" si="0"/>
        <v>(Twenty three Thousand Two Hundred and Eighty three rupees only)</v>
      </c>
      <c r="C36" s="857">
        <f t="shared" si="1"/>
        <v>0</v>
      </c>
      <c r="D36" s="858">
        <f t="shared" si="2"/>
        <v>23</v>
      </c>
      <c r="E36" s="858">
        <f t="shared" si="3"/>
        <v>2</v>
      </c>
      <c r="F36" s="858">
        <f t="shared" si="4"/>
        <v>83</v>
      </c>
      <c r="G36" s="858">
        <f t="shared" si="5"/>
      </c>
      <c r="H36" s="858" t="str">
        <f t="shared" si="5"/>
        <v>Twenty three</v>
      </c>
      <c r="I36" s="858" t="str">
        <f t="shared" si="6"/>
        <v>Two</v>
      </c>
      <c r="J36" s="858" t="str">
        <f t="shared" si="7"/>
        <v>Eighty three</v>
      </c>
      <c r="K36" s="858">
        <f t="shared" si="8"/>
        <v>2</v>
      </c>
      <c r="L36" s="858">
        <f t="shared" si="9"/>
        <v>4</v>
      </c>
      <c r="M36" s="858">
        <f t="shared" si="10"/>
        <v>6</v>
      </c>
      <c r="N36" s="858">
        <f t="shared" si="11"/>
      </c>
      <c r="O36" s="858" t="str">
        <f t="shared" si="12"/>
        <v> Thousand </v>
      </c>
      <c r="P36" s="858" t="str">
        <f t="shared" si="13"/>
        <v> Hundred </v>
      </c>
      <c r="Q36" s="858" t="str">
        <f t="shared" si="14"/>
        <v>Twenty three Thousand Two Hundred and Eighty three</v>
      </c>
      <c r="R36" s="854"/>
      <c r="S36" s="854"/>
      <c r="T36" s="854"/>
      <c r="U36" s="854"/>
      <c r="V36" s="854"/>
      <c r="W36" s="854"/>
      <c r="X36" s="854"/>
      <c r="Y36" s="854"/>
      <c r="Z36" s="854"/>
      <c r="AA36" s="854"/>
      <c r="AB36" s="854"/>
      <c r="AC36" s="854"/>
      <c r="AD36" s="854"/>
      <c r="AE36" s="854"/>
      <c r="AF36" s="854"/>
      <c r="AG36" s="854"/>
      <c r="AH36" s="854"/>
      <c r="AI36" s="854"/>
      <c r="AJ36" s="854"/>
      <c r="AK36" s="854"/>
      <c r="AL36" s="854"/>
      <c r="AM36" s="854"/>
      <c r="AN36" s="854"/>
      <c r="AO36" s="854"/>
      <c r="AP36" s="854"/>
      <c r="AQ36" s="854"/>
      <c r="AR36" s="854"/>
      <c r="AS36" s="854"/>
      <c r="AT36" s="854"/>
      <c r="AU36" s="854"/>
      <c r="AV36" s="854"/>
      <c r="AW36" s="854"/>
      <c r="AX36" s="854"/>
      <c r="AY36" s="854"/>
      <c r="AZ36" s="854"/>
      <c r="BA36" s="854"/>
      <c r="BB36" s="854"/>
      <c r="BC36" s="854"/>
      <c r="BD36" s="854"/>
      <c r="BE36" s="854"/>
      <c r="BF36" s="854"/>
      <c r="BG36" s="854"/>
      <c r="BH36" s="854"/>
      <c r="BI36" s="854"/>
      <c r="BJ36" s="854"/>
      <c r="BK36" s="854"/>
      <c r="BL36" s="854"/>
      <c r="BM36" s="854"/>
      <c r="BN36" s="854"/>
      <c r="BO36" s="854"/>
      <c r="BP36" s="854"/>
      <c r="BQ36" s="854"/>
      <c r="BR36" s="854"/>
      <c r="BS36" s="854"/>
      <c r="BT36" s="854"/>
      <c r="BU36" s="854"/>
      <c r="BV36" s="854"/>
      <c r="BW36" s="854"/>
      <c r="BX36" s="854"/>
      <c r="BY36" s="854"/>
      <c r="BZ36" s="854"/>
      <c r="CA36" s="854"/>
      <c r="CB36" s="854"/>
      <c r="CC36" s="854"/>
      <c r="CD36" s="854"/>
      <c r="CE36" s="854"/>
      <c r="CF36" s="854"/>
      <c r="CG36" s="854"/>
      <c r="CH36" s="854"/>
      <c r="CI36" s="854"/>
      <c r="CJ36" s="854"/>
      <c r="CK36" s="854"/>
      <c r="CL36" s="854"/>
      <c r="CM36" s="854"/>
      <c r="CN36" s="854"/>
      <c r="CO36" s="854"/>
      <c r="CP36" s="854"/>
      <c r="CQ36" s="854"/>
      <c r="CR36" s="854"/>
      <c r="CS36" s="854"/>
      <c r="CT36" s="854"/>
      <c r="CU36" s="854"/>
      <c r="CV36" s="854"/>
      <c r="CW36" s="854"/>
      <c r="CX36" s="854"/>
      <c r="CY36" s="854"/>
      <c r="CZ36" s="854"/>
      <c r="DA36" s="854"/>
      <c r="DB36" s="854"/>
      <c r="DC36" s="854"/>
      <c r="DD36" s="854"/>
      <c r="DE36" s="854"/>
      <c r="DF36" s="854"/>
    </row>
    <row r="37" spans="1:110" ht="23.25">
      <c r="A37" s="860">
        <f>'form 16 page 2'!M24</f>
        <v>23283</v>
      </c>
      <c r="B37" s="856" t="str">
        <f t="shared" si="0"/>
        <v>(Twenty three Thousand Two Hundred and Eighty three rupees only)</v>
      </c>
      <c r="C37" s="857">
        <f t="shared" si="1"/>
        <v>0</v>
      </c>
      <c r="D37" s="858">
        <f t="shared" si="2"/>
        <v>23</v>
      </c>
      <c r="E37" s="858">
        <f t="shared" si="3"/>
        <v>2</v>
      </c>
      <c r="F37" s="858">
        <f t="shared" si="4"/>
        <v>83</v>
      </c>
      <c r="G37" s="858">
        <f t="shared" si="5"/>
      </c>
      <c r="H37" s="858" t="str">
        <f t="shared" si="5"/>
        <v>Twenty three</v>
      </c>
      <c r="I37" s="858" t="str">
        <f t="shared" si="6"/>
        <v>Two</v>
      </c>
      <c r="J37" s="858" t="str">
        <f t="shared" si="7"/>
        <v>Eighty three</v>
      </c>
      <c r="K37" s="858">
        <f t="shared" si="8"/>
        <v>2</v>
      </c>
      <c r="L37" s="858">
        <f t="shared" si="9"/>
        <v>4</v>
      </c>
      <c r="M37" s="858">
        <f t="shared" si="10"/>
        <v>6</v>
      </c>
      <c r="N37" s="858">
        <f t="shared" si="11"/>
      </c>
      <c r="O37" s="858" t="str">
        <f t="shared" si="12"/>
        <v> Thousand </v>
      </c>
      <c r="P37" s="858" t="str">
        <f t="shared" si="13"/>
        <v> Hundred </v>
      </c>
      <c r="Q37" s="858" t="str">
        <f t="shared" si="14"/>
        <v>Twenty three Thousand Two Hundred and Eighty three</v>
      </c>
      <c r="R37" s="854"/>
      <c r="S37" s="854"/>
      <c r="T37" s="854"/>
      <c r="U37" s="854"/>
      <c r="V37" s="854"/>
      <c r="W37" s="854"/>
      <c r="X37" s="854"/>
      <c r="Y37" s="854"/>
      <c r="Z37" s="854"/>
      <c r="AA37" s="854"/>
      <c r="AB37" s="854"/>
      <c r="AC37" s="854"/>
      <c r="AD37" s="854"/>
      <c r="AE37" s="854"/>
      <c r="AF37" s="854"/>
      <c r="AG37" s="854"/>
      <c r="AH37" s="854"/>
      <c r="AI37" s="854"/>
      <c r="AJ37" s="854"/>
      <c r="AK37" s="854"/>
      <c r="AL37" s="854"/>
      <c r="AM37" s="854"/>
      <c r="AN37" s="854"/>
      <c r="AO37" s="854"/>
      <c r="AP37" s="854"/>
      <c r="AQ37" s="854"/>
      <c r="AR37" s="854"/>
      <c r="AS37" s="854"/>
      <c r="AT37" s="854"/>
      <c r="AU37" s="854"/>
      <c r="AV37" s="854"/>
      <c r="AW37" s="854"/>
      <c r="AX37" s="854"/>
      <c r="AY37" s="854"/>
      <c r="AZ37" s="854"/>
      <c r="BA37" s="854"/>
      <c r="BB37" s="854"/>
      <c r="BC37" s="854"/>
      <c r="BD37" s="854"/>
      <c r="BE37" s="854"/>
      <c r="BF37" s="854"/>
      <c r="BG37" s="854"/>
      <c r="BH37" s="854"/>
      <c r="BI37" s="854"/>
      <c r="BJ37" s="854"/>
      <c r="BK37" s="854"/>
      <c r="BL37" s="854"/>
      <c r="BM37" s="854"/>
      <c r="BN37" s="854"/>
      <c r="BO37" s="854"/>
      <c r="BP37" s="854"/>
      <c r="BQ37" s="854"/>
      <c r="BR37" s="854"/>
      <c r="BS37" s="854"/>
      <c r="BT37" s="854"/>
      <c r="BU37" s="854"/>
      <c r="BV37" s="854"/>
      <c r="BW37" s="854"/>
      <c r="BX37" s="854"/>
      <c r="BY37" s="854"/>
      <c r="BZ37" s="854"/>
      <c r="CA37" s="854"/>
      <c r="CB37" s="854"/>
      <c r="CC37" s="854"/>
      <c r="CD37" s="854"/>
      <c r="CE37" s="854"/>
      <c r="CF37" s="854"/>
      <c r="CG37" s="854"/>
      <c r="CH37" s="854"/>
      <c r="CI37" s="854"/>
      <c r="CJ37" s="854"/>
      <c r="CK37" s="854"/>
      <c r="CL37" s="854"/>
      <c r="CM37" s="854"/>
      <c r="CN37" s="854"/>
      <c r="CO37" s="854"/>
      <c r="CP37" s="854"/>
      <c r="CQ37" s="854"/>
      <c r="CR37" s="854"/>
      <c r="CS37" s="854"/>
      <c r="CT37" s="854"/>
      <c r="CU37" s="854"/>
      <c r="CV37" s="854"/>
      <c r="CW37" s="854"/>
      <c r="CX37" s="854"/>
      <c r="CY37" s="854"/>
      <c r="CZ37" s="854"/>
      <c r="DA37" s="854"/>
      <c r="DB37" s="854"/>
      <c r="DC37" s="854"/>
      <c r="DD37" s="854"/>
      <c r="DE37" s="854"/>
      <c r="DF37" s="854"/>
    </row>
    <row r="38" spans="1:110" ht="23.25">
      <c r="A38" s="861">
        <f>'it pro'!J162</f>
        <v>6300</v>
      </c>
      <c r="B38" s="856" t="str">
        <f>IF(A38="","",CONCATENATE("(",Q38," rupees only)"))</f>
        <v>(Six Thousand Three Hundred rupees only)</v>
      </c>
      <c r="C38" s="857">
        <f t="shared" si="1"/>
        <v>0</v>
      </c>
      <c r="D38" s="858">
        <f t="shared" si="2"/>
        <v>6</v>
      </c>
      <c r="E38" s="858">
        <f t="shared" si="3"/>
        <v>3</v>
      </c>
      <c r="F38" s="858">
        <f t="shared" si="4"/>
        <v>0</v>
      </c>
      <c r="G38" s="858">
        <f t="shared" si="5"/>
      </c>
      <c r="H38" s="858" t="str">
        <f t="shared" si="5"/>
        <v>Six</v>
      </c>
      <c r="I38" s="858" t="str">
        <f t="shared" si="6"/>
        <v>Three</v>
      </c>
      <c r="J38" s="858">
        <f t="shared" si="7"/>
      </c>
      <c r="K38" s="858">
        <f t="shared" si="8"/>
        <v>2</v>
      </c>
      <c r="L38" s="858">
        <f t="shared" si="9"/>
        <v>3</v>
      </c>
      <c r="M38" s="858">
        <f t="shared" si="10"/>
        <v>5</v>
      </c>
      <c r="N38" s="858">
        <f t="shared" si="11"/>
      </c>
      <c r="O38" s="858" t="str">
        <f t="shared" si="12"/>
        <v> Thousand </v>
      </c>
      <c r="P38" s="858" t="str">
        <f t="shared" si="13"/>
        <v> Hundred </v>
      </c>
      <c r="Q38" s="858" t="str">
        <f t="shared" si="14"/>
        <v>Six Thousand Three Hundred</v>
      </c>
      <c r="R38" s="854"/>
      <c r="S38" s="854"/>
      <c r="T38" s="854"/>
      <c r="U38" s="854"/>
      <c r="V38" s="854"/>
      <c r="W38" s="854"/>
      <c r="X38" s="854"/>
      <c r="Y38" s="854"/>
      <c r="Z38" s="854"/>
      <c r="AA38" s="854"/>
      <c r="AB38" s="854"/>
      <c r="AC38" s="854"/>
      <c r="AD38" s="854"/>
      <c r="AE38" s="854"/>
      <c r="AF38" s="854"/>
      <c r="AG38" s="854"/>
      <c r="AH38" s="854"/>
      <c r="AI38" s="854"/>
      <c r="AJ38" s="854"/>
      <c r="AK38" s="854"/>
      <c r="AL38" s="854"/>
      <c r="AM38" s="854"/>
      <c r="AN38" s="854"/>
      <c r="AO38" s="854"/>
      <c r="AP38" s="854"/>
      <c r="AQ38" s="854"/>
      <c r="AR38" s="854"/>
      <c r="AS38" s="854"/>
      <c r="AT38" s="854"/>
      <c r="AU38" s="854"/>
      <c r="AV38" s="854"/>
      <c r="AW38" s="854"/>
      <c r="AX38" s="854"/>
      <c r="AY38" s="854"/>
      <c r="AZ38" s="854"/>
      <c r="BA38" s="854"/>
      <c r="BB38" s="854"/>
      <c r="BC38" s="854"/>
      <c r="BD38" s="854"/>
      <c r="BE38" s="854"/>
      <c r="BF38" s="854"/>
      <c r="BG38" s="854"/>
      <c r="BH38" s="854"/>
      <c r="BI38" s="854"/>
      <c r="BJ38" s="854"/>
      <c r="BK38" s="854"/>
      <c r="BL38" s="854"/>
      <c r="BM38" s="854"/>
      <c r="BN38" s="854"/>
      <c r="BO38" s="854"/>
      <c r="BP38" s="854"/>
      <c r="BQ38" s="854"/>
      <c r="BR38" s="854"/>
      <c r="BS38" s="854"/>
      <c r="BT38" s="854"/>
      <c r="BU38" s="854"/>
      <c r="BV38" s="854"/>
      <c r="BW38" s="854"/>
      <c r="BX38" s="854"/>
      <c r="BY38" s="854"/>
      <c r="BZ38" s="854"/>
      <c r="CA38" s="854"/>
      <c r="CB38" s="854"/>
      <c r="CC38" s="854"/>
      <c r="CD38" s="854"/>
      <c r="CE38" s="854"/>
      <c r="CF38" s="854"/>
      <c r="CG38" s="854"/>
      <c r="CH38" s="854"/>
      <c r="CI38" s="854"/>
      <c r="CJ38" s="854"/>
      <c r="CK38" s="854"/>
      <c r="CL38" s="854"/>
      <c r="CM38" s="854"/>
      <c r="CN38" s="854"/>
      <c r="CO38" s="854"/>
      <c r="CP38" s="854"/>
      <c r="CQ38" s="854"/>
      <c r="CR38" s="854"/>
      <c r="CS38" s="854"/>
      <c r="CT38" s="854"/>
      <c r="CU38" s="854"/>
      <c r="CV38" s="854"/>
      <c r="CW38" s="854"/>
      <c r="CX38" s="854"/>
      <c r="CY38" s="854"/>
      <c r="CZ38" s="854"/>
      <c r="DA38" s="854"/>
      <c r="DB38" s="854"/>
      <c r="DC38" s="854"/>
      <c r="DD38" s="854"/>
      <c r="DE38" s="854"/>
      <c r="DF38" s="854"/>
    </row>
    <row r="39" spans="1:110" ht="23.25">
      <c r="A39" s="861"/>
      <c r="B39" s="856">
        <f t="shared" si="0"/>
      </c>
      <c r="C39" s="857">
        <f t="shared" si="1"/>
        <v>0</v>
      </c>
      <c r="D39" s="858">
        <f t="shared" si="2"/>
        <v>0</v>
      </c>
      <c r="E39" s="858">
        <f t="shared" si="3"/>
        <v>0</v>
      </c>
      <c r="F39" s="858">
        <f t="shared" si="4"/>
        <v>0</v>
      </c>
      <c r="G39" s="858">
        <f t="shared" si="5"/>
      </c>
      <c r="H39" s="858">
        <f t="shared" si="5"/>
      </c>
      <c r="I39" s="858">
        <f t="shared" si="6"/>
      </c>
      <c r="J39" s="858">
        <f t="shared" si="7"/>
      </c>
      <c r="K39" s="858">
        <f t="shared" si="8"/>
        <v>1</v>
      </c>
      <c r="L39" s="858">
        <f t="shared" si="9"/>
        <v>3</v>
      </c>
      <c r="M39" s="858">
        <f t="shared" si="10"/>
        <v>5</v>
      </c>
      <c r="N39" s="858">
        <f t="shared" si="11"/>
      </c>
      <c r="O39" s="858">
        <f t="shared" si="12"/>
      </c>
      <c r="P39" s="858">
        <f t="shared" si="13"/>
      </c>
      <c r="Q39" s="858" t="str">
        <f t="shared" si="14"/>
        <v>Zero</v>
      </c>
      <c r="R39" s="854"/>
      <c r="S39" s="854"/>
      <c r="T39" s="854"/>
      <c r="U39" s="854"/>
      <c r="V39" s="854"/>
      <c r="W39" s="854"/>
      <c r="X39" s="854"/>
      <c r="Y39" s="854"/>
      <c r="Z39" s="854"/>
      <c r="AA39" s="854"/>
      <c r="AB39" s="854"/>
      <c r="AC39" s="854"/>
      <c r="AD39" s="854"/>
      <c r="AE39" s="854"/>
      <c r="AF39" s="854"/>
      <c r="AG39" s="854"/>
      <c r="AH39" s="854"/>
      <c r="AI39" s="854"/>
      <c r="AJ39" s="854"/>
      <c r="AK39" s="854"/>
      <c r="AL39" s="854"/>
      <c r="AM39" s="854"/>
      <c r="AN39" s="854"/>
      <c r="AO39" s="854"/>
      <c r="AP39" s="854"/>
      <c r="AQ39" s="854"/>
      <c r="AR39" s="854"/>
      <c r="AS39" s="854"/>
      <c r="AT39" s="854"/>
      <c r="AU39" s="854"/>
      <c r="AV39" s="854"/>
      <c r="AW39" s="854"/>
      <c r="AX39" s="854"/>
      <c r="AY39" s="854"/>
      <c r="AZ39" s="854"/>
      <c r="BA39" s="854"/>
      <c r="BB39" s="854"/>
      <c r="BC39" s="854"/>
      <c r="BD39" s="854"/>
      <c r="BE39" s="854"/>
      <c r="BF39" s="854"/>
      <c r="BG39" s="854"/>
      <c r="BH39" s="854"/>
      <c r="BI39" s="854"/>
      <c r="BJ39" s="854"/>
      <c r="BK39" s="854"/>
      <c r="BL39" s="854"/>
      <c r="BM39" s="854"/>
      <c r="BN39" s="854"/>
      <c r="BO39" s="854"/>
      <c r="BP39" s="854"/>
      <c r="BQ39" s="854"/>
      <c r="BR39" s="854"/>
      <c r="BS39" s="854"/>
      <c r="BT39" s="854"/>
      <c r="BU39" s="854"/>
      <c r="BV39" s="854"/>
      <c r="BW39" s="854"/>
      <c r="BX39" s="854"/>
      <c r="BY39" s="854"/>
      <c r="BZ39" s="854"/>
      <c r="CA39" s="854"/>
      <c r="CB39" s="854"/>
      <c r="CC39" s="854"/>
      <c r="CD39" s="854"/>
      <c r="CE39" s="854"/>
      <c r="CF39" s="854"/>
      <c r="CG39" s="854"/>
      <c r="CH39" s="854"/>
      <c r="CI39" s="854"/>
      <c r="CJ39" s="854"/>
      <c r="CK39" s="854"/>
      <c r="CL39" s="854"/>
      <c r="CM39" s="854"/>
      <c r="CN39" s="854"/>
      <c r="CO39" s="854"/>
      <c r="CP39" s="854"/>
      <c r="CQ39" s="854"/>
      <c r="CR39" s="854"/>
      <c r="CS39" s="854"/>
      <c r="CT39" s="854"/>
      <c r="CU39" s="854"/>
      <c r="CV39" s="854"/>
      <c r="CW39" s="854"/>
      <c r="CX39" s="854"/>
      <c r="CY39" s="854"/>
      <c r="CZ39" s="854"/>
      <c r="DA39" s="854"/>
      <c r="DB39" s="854"/>
      <c r="DC39" s="854"/>
      <c r="DD39" s="854"/>
      <c r="DE39" s="854"/>
      <c r="DF39" s="854"/>
    </row>
  </sheetData>
  <sheetProtection selectLockedCells="1" selectUnlockedCells="1"/>
  <mergeCells count="1">
    <mergeCell ref="A13:B13"/>
  </mergeCells>
  <printOptions/>
  <pageMargins left="0.7" right="0.7" top="0.75" bottom="0.75" header="0.5118055555555555" footer="0.5118055555555555"/>
  <pageSetup horizontalDpi="300" verticalDpi="300" orientation="portrait"/>
  <drawing r:id="rId1"/>
</worksheet>
</file>

<file path=xl/worksheets/sheet15.xml><?xml version="1.0" encoding="utf-8"?>
<worksheet xmlns="http://schemas.openxmlformats.org/spreadsheetml/2006/main" xmlns:r="http://schemas.openxmlformats.org/officeDocument/2006/relationships">
  <dimension ref="B4:M28"/>
  <sheetViews>
    <sheetView showGridLines="0" zoomScalePageLayoutView="0" workbookViewId="0" topLeftCell="A3">
      <selection activeCell="P14" sqref="P14"/>
    </sheetView>
  </sheetViews>
  <sheetFormatPr defaultColWidth="9.140625" defaultRowHeight="15"/>
  <cols>
    <col min="1" max="1" width="1.1484375" style="0" customWidth="1"/>
    <col min="2" max="2" width="13.00390625" style="0" customWidth="1"/>
    <col min="6" max="6" width="12.421875" style="0" customWidth="1"/>
    <col min="7" max="7" width="13.8515625" style="0" customWidth="1"/>
  </cols>
  <sheetData>
    <row r="1" ht="15" hidden="1"/>
    <row r="2" ht="15" hidden="1"/>
    <row r="4" spans="2:7" ht="27.75" customHeight="1">
      <c r="B4" s="1105" t="s">
        <v>910</v>
      </c>
      <c r="C4" s="1105"/>
      <c r="D4" s="1105"/>
      <c r="E4" s="1105"/>
      <c r="F4" s="1105"/>
      <c r="G4" s="1105"/>
    </row>
    <row r="5" spans="2:13" ht="23.25" customHeight="1">
      <c r="B5" s="1106" t="s">
        <v>911</v>
      </c>
      <c r="C5" s="1106"/>
      <c r="D5" s="1106"/>
      <c r="E5" s="1106"/>
      <c r="F5" s="1106"/>
      <c r="G5" s="862">
        <f>'it pro'!K157</f>
        <v>250440</v>
      </c>
      <c r="H5" s="1103" t="s">
        <v>912</v>
      </c>
      <c r="I5" s="1103"/>
      <c r="J5" s="1103"/>
      <c r="K5" s="1103"/>
      <c r="L5" s="1103"/>
      <c r="M5" s="1103"/>
    </row>
    <row r="6" spans="2:13" ht="24.75" customHeight="1">
      <c r="B6" s="1106" t="s">
        <v>913</v>
      </c>
      <c r="C6" s="1106"/>
      <c r="D6" s="1106"/>
      <c r="E6" s="1106"/>
      <c r="F6" s="1106"/>
      <c r="G6" s="862">
        <f>'it pro'!K158</f>
        <v>193668</v>
      </c>
      <c r="H6" s="1103" t="s">
        <v>912</v>
      </c>
      <c r="I6" s="1103"/>
      <c r="J6" s="1103"/>
      <c r="K6" s="1103"/>
      <c r="L6" s="1103"/>
      <c r="M6" s="1103"/>
    </row>
    <row r="7" spans="2:13" ht="24" customHeight="1">
      <c r="B7" s="1106" t="s">
        <v>914</v>
      </c>
      <c r="C7" s="1106"/>
      <c r="D7" s="1106"/>
      <c r="E7" s="1106"/>
      <c r="F7" s="1106"/>
      <c r="G7" s="862">
        <f>'it pro'!K156</f>
        <v>30056</v>
      </c>
      <c r="H7" s="1103" t="s">
        <v>912</v>
      </c>
      <c r="I7" s="1103"/>
      <c r="J7" s="1103"/>
      <c r="K7" s="1103"/>
      <c r="L7" s="1103"/>
      <c r="M7" s="1103"/>
    </row>
    <row r="8" spans="2:13" ht="23.25" customHeight="1">
      <c r="B8" s="1106" t="s">
        <v>915</v>
      </c>
      <c r="C8" s="1106"/>
      <c r="D8" s="1106"/>
      <c r="E8" s="1106"/>
      <c r="F8" s="1106"/>
      <c r="G8" s="862">
        <f>'it pro'!K164</f>
        <v>75600</v>
      </c>
      <c r="H8" s="863" t="str">
        <f>"MONTHLY RENT PAID  Rs."&amp;(B23)&amp;" *12 MONTHS = "&amp;(B23*12)&amp;""</f>
        <v>MONTHLY RENT PAID  Rs.6300 *12 MONTHS = 75600</v>
      </c>
      <c r="I8" s="863"/>
      <c r="J8" s="863"/>
      <c r="K8" s="863"/>
      <c r="L8" s="863"/>
      <c r="M8" s="863"/>
    </row>
    <row r="9" spans="2:13" ht="18.75" customHeight="1">
      <c r="B9" s="1108" t="s">
        <v>916</v>
      </c>
      <c r="C9" s="1108"/>
      <c r="D9" s="1108"/>
      <c r="E9" s="1108"/>
      <c r="F9" s="1108"/>
      <c r="G9" s="864" t="s">
        <v>917</v>
      </c>
      <c r="H9" s="94"/>
      <c r="I9" s="94"/>
      <c r="J9" s="94"/>
      <c r="K9" s="94"/>
      <c r="L9" s="94"/>
      <c r="M9" s="94"/>
    </row>
    <row r="10" spans="2:13" ht="30.75" customHeight="1">
      <c r="B10" s="1109" t="s">
        <v>918</v>
      </c>
      <c r="C10" s="1109"/>
      <c r="D10" s="1109"/>
      <c r="E10" s="1109"/>
      <c r="F10" s="1109"/>
      <c r="G10" s="1109"/>
      <c r="H10" s="94"/>
      <c r="I10" s="94"/>
      <c r="J10" s="94"/>
      <c r="K10" s="94"/>
      <c r="L10" s="94"/>
      <c r="M10" s="94"/>
    </row>
    <row r="11" spans="2:13" ht="18.75" customHeight="1">
      <c r="B11" s="1104" t="s">
        <v>919</v>
      </c>
      <c r="C11" s="1104"/>
      <c r="D11" s="1104"/>
      <c r="E11" s="1104"/>
      <c r="F11" s="1104"/>
      <c r="G11" s="862">
        <f>G7</f>
        <v>30056</v>
      </c>
      <c r="H11" s="1103" t="s">
        <v>912</v>
      </c>
      <c r="I11" s="1103"/>
      <c r="J11" s="1103"/>
      <c r="K11" s="1103"/>
      <c r="L11" s="1103"/>
      <c r="M11" s="1103"/>
    </row>
    <row r="12" spans="2:13" ht="18.75" customHeight="1">
      <c r="B12" s="1104" t="str">
        <f>IF(B25=G9,"50% OF SALARY","40% OF SALARY")</f>
        <v>40% OF SALARY</v>
      </c>
      <c r="C12" s="1104"/>
      <c r="D12" s="1104"/>
      <c r="E12" s="1104"/>
      <c r="F12" s="1104"/>
      <c r="G12" s="862">
        <f>ROUND(B28*C25%,0)</f>
        <v>177643</v>
      </c>
      <c r="H12" s="865" t="s">
        <v>920</v>
      </c>
      <c r="I12" s="866"/>
      <c r="J12" s="866"/>
      <c r="K12" s="866"/>
      <c r="L12" s="866"/>
      <c r="M12" s="867"/>
    </row>
    <row r="13" spans="2:13" ht="18.75" customHeight="1">
      <c r="B13" s="1104" t="s">
        <v>921</v>
      </c>
      <c r="C13" s="1104"/>
      <c r="D13" s="1104"/>
      <c r="E13" s="1104"/>
      <c r="F13" s="1104"/>
      <c r="G13" s="862">
        <f>ROUND(SUM(G8-D28),0)</f>
        <v>31189</v>
      </c>
      <c r="H13" s="865" t="s">
        <v>922</v>
      </c>
      <c r="I13" s="866"/>
      <c r="J13" s="866"/>
      <c r="K13" s="866"/>
      <c r="L13" s="866"/>
      <c r="M13" s="867"/>
    </row>
    <row r="14" spans="2:7" ht="5.25" customHeight="1">
      <c r="B14" s="868"/>
      <c r="C14" s="868"/>
      <c r="D14" s="868"/>
      <c r="E14" s="868"/>
      <c r="F14" s="868"/>
      <c r="G14" s="868"/>
    </row>
    <row r="15" spans="2:7" ht="21" customHeight="1">
      <c r="B15" s="1107" t="s">
        <v>923</v>
      </c>
      <c r="C15" s="1107"/>
      <c r="D15" s="1107"/>
      <c r="E15" s="1107"/>
      <c r="F15" s="1107"/>
      <c r="G15" s="869">
        <f>MIN(G11:G13)</f>
        <v>30056</v>
      </c>
    </row>
    <row r="23" spans="2:4" ht="15" hidden="1">
      <c r="B23" s="94">
        <f>ROUND((D28+G7)/12,-2)+100</f>
        <v>6300</v>
      </c>
      <c r="C23" s="94"/>
      <c r="D23" s="94"/>
    </row>
    <row r="24" spans="2:4" ht="15" hidden="1">
      <c r="B24" s="94"/>
      <c r="C24" s="94"/>
      <c r="D24" s="94"/>
    </row>
    <row r="25" spans="2:4" ht="15" hidden="1">
      <c r="B25" s="241" t="s">
        <v>924</v>
      </c>
      <c r="C25" s="94">
        <f>IF(B25=G9,50,40)</f>
        <v>40</v>
      </c>
      <c r="D25" s="94"/>
    </row>
    <row r="26" spans="2:4" ht="15" hidden="1">
      <c r="B26" s="241" t="s">
        <v>917</v>
      </c>
      <c r="C26" s="94"/>
      <c r="D26" s="94"/>
    </row>
    <row r="27" spans="2:4" ht="15" hidden="1">
      <c r="B27" s="94" t="s">
        <v>925</v>
      </c>
      <c r="C27" s="94"/>
      <c r="D27" s="94"/>
    </row>
    <row r="28" spans="2:4" ht="17.25" customHeight="1" hidden="1">
      <c r="B28" s="94">
        <f>SUM(G5+G6)</f>
        <v>444108</v>
      </c>
      <c r="C28" s="94"/>
      <c r="D28" s="94">
        <f>ROUND(B28*10%,0.1)</f>
        <v>44411</v>
      </c>
    </row>
    <row r="29" ht="15" hidden="1"/>
    <row r="30" ht="15" hidden="1"/>
  </sheetData>
  <sheetProtection selectLockedCells="1" selectUnlockedCells="1"/>
  <mergeCells count="15">
    <mergeCell ref="B13:F13"/>
    <mergeCell ref="B15:F15"/>
    <mergeCell ref="B8:F8"/>
    <mergeCell ref="B9:F9"/>
    <mergeCell ref="B10:G10"/>
    <mergeCell ref="B11:F11"/>
    <mergeCell ref="H11:M11"/>
    <mergeCell ref="B12:F12"/>
    <mergeCell ref="B4:G4"/>
    <mergeCell ref="B5:F5"/>
    <mergeCell ref="H5:M5"/>
    <mergeCell ref="B6:F6"/>
    <mergeCell ref="H6:M6"/>
    <mergeCell ref="B7:F7"/>
    <mergeCell ref="H7:M7"/>
  </mergeCells>
  <dataValidations count="1">
    <dataValidation type="list" allowBlank="1" showErrorMessage="1" sqref="G9">
      <formula1>'HRA CALCULATION'!$B$25:$B$26</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sheetPr>
    <tabColor indexed="10"/>
  </sheetPr>
  <dimension ref="A1:M82"/>
  <sheetViews>
    <sheetView showGridLines="0" zoomScalePageLayoutView="0" workbookViewId="0" topLeftCell="A50">
      <selection activeCell="E55" sqref="E55"/>
    </sheetView>
  </sheetViews>
  <sheetFormatPr defaultColWidth="9.140625" defaultRowHeight="15"/>
  <cols>
    <col min="1" max="1" width="25.00390625" style="0" customWidth="1"/>
    <col min="2" max="2" width="28.140625" style="0" customWidth="1"/>
    <col min="3" max="3" width="14.7109375" style="0" customWidth="1"/>
    <col min="4" max="4" width="17.7109375" style="0" customWidth="1"/>
    <col min="5" max="5" width="11.28125" style="0" customWidth="1"/>
    <col min="6" max="6" width="16.00390625" style="0" customWidth="1"/>
    <col min="7" max="7" width="16.140625" style="0" customWidth="1"/>
    <col min="8" max="8" width="12.8515625" style="0" customWidth="1"/>
    <col min="10" max="10" width="25.57421875" style="0" customWidth="1"/>
    <col min="11" max="11" width="24.421875" style="0" customWidth="1"/>
    <col min="12" max="12" width="5.00390625" style="0" customWidth="1"/>
    <col min="13" max="13" width="23.28125" style="0" customWidth="1"/>
  </cols>
  <sheetData>
    <row r="1" spans="11:13" ht="43.5" hidden="1">
      <c r="K1" s="26" t="s">
        <v>59</v>
      </c>
      <c r="L1" s="26"/>
      <c r="M1" s="26" t="s">
        <v>60</v>
      </c>
    </row>
    <row r="2" spans="11:13" ht="15" hidden="1">
      <c r="K2" s="26"/>
      <c r="L2" s="26"/>
      <c r="M2" s="26" t="s">
        <v>61</v>
      </c>
    </row>
    <row r="3" spans="11:13" ht="15" hidden="1">
      <c r="K3" s="27"/>
      <c r="L3" s="27"/>
      <c r="M3" s="28"/>
    </row>
    <row r="4" spans="11:13" ht="25.5" hidden="1">
      <c r="K4" s="29" t="s">
        <v>62</v>
      </c>
      <c r="L4" s="29"/>
      <c r="M4" s="30" t="s">
        <v>63</v>
      </c>
    </row>
    <row r="5" spans="11:13" ht="85.5" hidden="1">
      <c r="K5" s="31" t="s">
        <v>64</v>
      </c>
      <c r="L5" s="31" t="s">
        <v>65</v>
      </c>
      <c r="M5" s="32" t="s">
        <v>66</v>
      </c>
    </row>
    <row r="6" spans="11:13" ht="15" hidden="1">
      <c r="K6" s="27"/>
      <c r="L6" s="27"/>
      <c r="M6" s="33"/>
    </row>
    <row r="7" spans="11:13" ht="42.75" hidden="1">
      <c r="K7" s="34" t="s">
        <v>67</v>
      </c>
      <c r="L7" s="34"/>
      <c r="M7" s="33"/>
    </row>
    <row r="8" spans="11:13" ht="71.25" hidden="1">
      <c r="K8" s="31" t="s">
        <v>68</v>
      </c>
      <c r="L8" s="31"/>
      <c r="M8" s="35" t="s">
        <v>69</v>
      </c>
    </row>
    <row r="9" spans="11:13" ht="15" hidden="1">
      <c r="K9" s="31"/>
      <c r="L9" s="31"/>
      <c r="M9" s="31"/>
    </row>
    <row r="10" spans="11:13" ht="28.5" hidden="1">
      <c r="K10" s="31" t="s">
        <v>70</v>
      </c>
      <c r="L10" s="31"/>
      <c r="M10" s="35" t="s">
        <v>71</v>
      </c>
    </row>
    <row r="11" spans="11:12" ht="15" hidden="1">
      <c r="K11" s="31"/>
      <c r="L11" s="31"/>
    </row>
    <row r="12" spans="11:13" ht="42.75" hidden="1">
      <c r="K12" s="36" t="s">
        <v>72</v>
      </c>
      <c r="L12" s="36"/>
      <c r="M12" s="33"/>
    </row>
    <row r="13" spans="11:13" ht="57" hidden="1">
      <c r="K13" s="37" t="s">
        <v>73</v>
      </c>
      <c r="L13" s="37"/>
      <c r="M13" s="35" t="s">
        <v>74</v>
      </c>
    </row>
    <row r="14" spans="11:13" ht="15" hidden="1">
      <c r="K14" s="37"/>
      <c r="L14" s="37"/>
      <c r="M14" s="38"/>
    </row>
    <row r="15" spans="11:13" ht="28.5" hidden="1">
      <c r="K15" s="37" t="s">
        <v>75</v>
      </c>
      <c r="L15" s="37"/>
      <c r="M15" s="31" t="s">
        <v>76</v>
      </c>
    </row>
    <row r="16" spans="11:13" ht="15" hidden="1">
      <c r="K16" s="27"/>
      <c r="L16" s="27"/>
      <c r="M16" s="38"/>
    </row>
    <row r="17" spans="11:13" ht="42.75" hidden="1">
      <c r="K17" s="34" t="s">
        <v>77</v>
      </c>
      <c r="L17" s="34"/>
      <c r="M17" s="33"/>
    </row>
    <row r="18" spans="11:13" ht="85.5" hidden="1">
      <c r="K18" s="31" t="s">
        <v>78</v>
      </c>
      <c r="L18" s="31"/>
      <c r="M18" s="35">
        <v>200000</v>
      </c>
    </row>
    <row r="19" spans="11:13" ht="15" hidden="1">
      <c r="K19" s="31"/>
      <c r="L19" s="31"/>
      <c r="M19" s="38"/>
    </row>
    <row r="20" spans="11:13" ht="42.75" hidden="1">
      <c r="K20" s="34" t="s">
        <v>79</v>
      </c>
      <c r="L20" s="34"/>
      <c r="M20" s="33"/>
    </row>
    <row r="21" spans="11:13" ht="28.5" hidden="1">
      <c r="K21" s="31" t="s">
        <v>80</v>
      </c>
      <c r="L21" s="31"/>
      <c r="M21" s="35" t="s">
        <v>81</v>
      </c>
    </row>
    <row r="22" spans="11:13" ht="15" hidden="1">
      <c r="K22" s="31"/>
      <c r="L22" s="31"/>
      <c r="M22" s="38"/>
    </row>
    <row r="23" spans="11:13" ht="15" hidden="1">
      <c r="K23" s="31"/>
      <c r="L23" s="31"/>
      <c r="M23" s="31"/>
    </row>
    <row r="24" spans="11:13" ht="15" hidden="1">
      <c r="K24" s="27"/>
      <c r="L24" s="27"/>
      <c r="M24" s="33"/>
    </row>
    <row r="25" spans="11:13" ht="42.75" hidden="1">
      <c r="K25" s="34" t="s">
        <v>82</v>
      </c>
      <c r="L25" s="34"/>
      <c r="M25" s="33"/>
    </row>
    <row r="26" spans="11:13" ht="40.5" customHeight="1" hidden="1">
      <c r="K26" s="31" t="s">
        <v>83</v>
      </c>
      <c r="L26" s="31"/>
      <c r="M26" s="35"/>
    </row>
    <row r="27" spans="11:13" ht="15" hidden="1">
      <c r="K27" s="31"/>
      <c r="L27" s="31"/>
      <c r="M27" s="39"/>
    </row>
    <row r="28" spans="1:8" ht="23.25" customHeight="1">
      <c r="A28" s="890" t="s">
        <v>84</v>
      </c>
      <c r="B28" s="890"/>
      <c r="C28" s="890"/>
      <c r="D28" s="890"/>
      <c r="E28" s="890"/>
      <c r="F28" s="890"/>
      <c r="G28" s="890"/>
      <c r="H28" s="890"/>
    </row>
    <row r="29" spans="1:8" ht="21.75" customHeight="1">
      <c r="A29" s="891" t="s">
        <v>85</v>
      </c>
      <c r="B29" s="891"/>
      <c r="C29" s="891"/>
      <c r="D29" s="891"/>
      <c r="E29" s="891"/>
      <c r="F29" s="891"/>
      <c r="G29" s="891"/>
      <c r="H29" s="891"/>
    </row>
    <row r="30" spans="1:8" ht="21" customHeight="1">
      <c r="A30" s="892" t="s">
        <v>86</v>
      </c>
      <c r="B30" s="892"/>
      <c r="C30" s="892"/>
      <c r="D30" s="892"/>
      <c r="E30" s="892"/>
      <c r="F30" s="892"/>
      <c r="G30" s="892"/>
      <c r="H30" s="892"/>
    </row>
    <row r="31" spans="1:8" ht="24.75" customHeight="1">
      <c r="A31" s="893" t="s">
        <v>87</v>
      </c>
      <c r="B31" s="893"/>
      <c r="C31" s="893"/>
      <c r="D31" s="40" t="s">
        <v>88</v>
      </c>
      <c r="E31" s="894" t="s">
        <v>89</v>
      </c>
      <c r="F31" s="894"/>
      <c r="G31" s="894"/>
      <c r="H31" s="41" t="s">
        <v>88</v>
      </c>
    </row>
    <row r="32" spans="1:8" ht="30.75" customHeight="1">
      <c r="A32" s="42" t="s">
        <v>90</v>
      </c>
      <c r="B32" s="895">
        <v>250000</v>
      </c>
      <c r="C32" s="895"/>
      <c r="D32" s="44">
        <v>0</v>
      </c>
      <c r="E32" s="45" t="s">
        <v>91</v>
      </c>
      <c r="F32" s="895">
        <v>250000</v>
      </c>
      <c r="G32" s="895"/>
      <c r="H32" s="44">
        <v>0</v>
      </c>
    </row>
    <row r="33" spans="1:10" ht="28.5" customHeight="1">
      <c r="A33" s="42" t="s">
        <v>92</v>
      </c>
      <c r="B33" s="46">
        <f>SUM(B32,1)</f>
        <v>250001</v>
      </c>
      <c r="C33" s="43">
        <v>500000</v>
      </c>
      <c r="D33" s="44">
        <v>0.1</v>
      </c>
      <c r="E33" s="47" t="s">
        <v>92</v>
      </c>
      <c r="F33" s="46">
        <f>SUM(F32,1)</f>
        <v>250001</v>
      </c>
      <c r="G33" s="43">
        <v>500000</v>
      </c>
      <c r="H33" s="44">
        <v>0.1</v>
      </c>
      <c r="J33" s="48"/>
    </row>
    <row r="34" spans="1:8" ht="24" customHeight="1">
      <c r="A34" s="42" t="s">
        <v>92</v>
      </c>
      <c r="B34" s="46">
        <f>SUM(C33,1)</f>
        <v>500001</v>
      </c>
      <c r="C34" s="43">
        <v>1000000</v>
      </c>
      <c r="D34" s="44">
        <v>0.2</v>
      </c>
      <c r="E34" s="47" t="s">
        <v>92</v>
      </c>
      <c r="F34" s="46">
        <f>SUM(G33,1)</f>
        <v>500001</v>
      </c>
      <c r="G34" s="43">
        <v>1000000</v>
      </c>
      <c r="H34" s="44">
        <v>0.2</v>
      </c>
    </row>
    <row r="35" spans="1:8" ht="35.25" customHeight="1">
      <c r="A35" s="42" t="s">
        <v>93</v>
      </c>
      <c r="B35" s="49">
        <f>C34</f>
        <v>1000000</v>
      </c>
      <c r="C35" s="50"/>
      <c r="D35" s="44">
        <v>0.3</v>
      </c>
      <c r="E35" s="47" t="s">
        <v>93</v>
      </c>
      <c r="F35" s="49">
        <f>G34</f>
        <v>1000000</v>
      </c>
      <c r="G35" s="50"/>
      <c r="H35" s="44">
        <v>0.3</v>
      </c>
    </row>
    <row r="36" spans="1:8" ht="1.5" customHeight="1">
      <c r="A36" s="42"/>
      <c r="B36" s="51"/>
      <c r="C36" s="52"/>
      <c r="D36" s="53"/>
      <c r="E36" s="54"/>
      <c r="F36" s="51"/>
      <c r="G36" s="55"/>
      <c r="H36" s="53"/>
    </row>
    <row r="37" ht="15">
      <c r="A37" s="9"/>
    </row>
    <row r="38" spans="1:12" ht="15">
      <c r="A38" s="56"/>
      <c r="B38" s="57"/>
      <c r="C38" s="58"/>
      <c r="D38" s="59"/>
      <c r="E38" s="60"/>
      <c r="F38" s="58"/>
      <c r="G38" s="58"/>
      <c r="H38" s="59"/>
      <c r="I38" s="60"/>
      <c r="J38" s="56"/>
      <c r="K38" s="9"/>
      <c r="L38" s="9"/>
    </row>
    <row r="39" spans="1:12" ht="15">
      <c r="A39" s="56"/>
      <c r="B39" s="57"/>
      <c r="C39" s="58"/>
      <c r="D39" s="58"/>
      <c r="E39" s="60"/>
      <c r="F39" s="58"/>
      <c r="G39" s="58"/>
      <c r="H39" s="59"/>
      <c r="I39" s="61"/>
      <c r="J39" s="56"/>
      <c r="K39" s="9"/>
      <c r="L39" s="9"/>
    </row>
    <row r="40" spans="1:12" ht="30.75" customHeight="1">
      <c r="A40" s="896" t="s">
        <v>94</v>
      </c>
      <c r="B40" s="896"/>
      <c r="C40" s="896"/>
      <c r="D40" s="56"/>
      <c r="E40" s="56"/>
      <c r="F40" s="56"/>
      <c r="G40" s="56"/>
      <c r="H40" s="62"/>
      <c r="I40" s="56"/>
      <c r="J40" s="56"/>
      <c r="K40" s="9"/>
      <c r="L40" s="9"/>
    </row>
    <row r="41" spans="1:12" ht="29.25" customHeight="1">
      <c r="A41" s="897" t="s">
        <v>95</v>
      </c>
      <c r="B41" s="897"/>
      <c r="C41" s="63">
        <v>0.01</v>
      </c>
      <c r="D41" s="9"/>
      <c r="E41" s="9"/>
      <c r="F41" s="9"/>
      <c r="G41" s="9"/>
      <c r="H41" s="9"/>
      <c r="I41" s="9"/>
      <c r="J41" s="9"/>
      <c r="K41" s="9"/>
      <c r="L41" s="9"/>
    </row>
    <row r="42" spans="1:12" ht="27" customHeight="1">
      <c r="A42" s="898" t="s">
        <v>96</v>
      </c>
      <c r="B42" s="898"/>
      <c r="C42" s="63">
        <v>0.02</v>
      </c>
      <c r="D42" s="9"/>
      <c r="E42" s="9"/>
      <c r="F42" s="9"/>
      <c r="G42" s="9"/>
      <c r="H42" s="9"/>
      <c r="I42" s="9"/>
      <c r="J42" s="9"/>
      <c r="K42" s="9"/>
      <c r="L42" s="9"/>
    </row>
    <row r="43" spans="1:12" ht="24" customHeight="1">
      <c r="A43" s="897" t="s">
        <v>97</v>
      </c>
      <c r="B43" s="897"/>
      <c r="C43" s="63">
        <v>0</v>
      </c>
      <c r="D43" s="9"/>
      <c r="E43" s="9"/>
      <c r="F43" s="9"/>
      <c r="G43" s="9"/>
      <c r="H43" s="9"/>
      <c r="I43" s="9"/>
      <c r="J43" s="9"/>
      <c r="K43" s="9"/>
      <c r="L43" s="9"/>
    </row>
    <row r="45" spans="1:6" ht="33.75" customHeight="1">
      <c r="A45" s="899" t="s">
        <v>59</v>
      </c>
      <c r="B45" s="899"/>
      <c r="C45" s="900" t="s">
        <v>98</v>
      </c>
      <c r="D45" s="900"/>
      <c r="E45" s="900" t="s">
        <v>99</v>
      </c>
      <c r="F45" s="900"/>
    </row>
    <row r="46" spans="1:11" ht="51" customHeight="1">
      <c r="A46" s="901" t="s">
        <v>64</v>
      </c>
      <c r="B46" s="901"/>
      <c r="C46" s="902" t="s">
        <v>100</v>
      </c>
      <c r="D46" s="902"/>
      <c r="E46" s="903">
        <v>150000</v>
      </c>
      <c r="F46" s="903"/>
      <c r="G46" t="s">
        <v>101</v>
      </c>
      <c r="H46" s="904" t="s">
        <v>102</v>
      </c>
      <c r="I46" s="904"/>
      <c r="J46" s="904"/>
      <c r="K46" s="64">
        <f>E46</f>
        <v>150000</v>
      </c>
    </row>
    <row r="47" spans="1:11" ht="33.75" customHeight="1">
      <c r="A47" s="905" t="s">
        <v>103</v>
      </c>
      <c r="B47" s="905"/>
      <c r="C47" s="906" t="s">
        <v>104</v>
      </c>
      <c r="D47" s="906"/>
      <c r="E47" s="903">
        <v>25000</v>
      </c>
      <c r="F47" s="903"/>
      <c r="G47" t="s">
        <v>101</v>
      </c>
      <c r="H47" s="904" t="s">
        <v>105</v>
      </c>
      <c r="I47" s="904"/>
      <c r="J47" s="904"/>
      <c r="K47" s="64">
        <f>E48</f>
        <v>100000</v>
      </c>
    </row>
    <row r="48" spans="1:11" ht="34.5" customHeight="1">
      <c r="A48" s="907" t="s">
        <v>106</v>
      </c>
      <c r="B48" s="907"/>
      <c r="C48" s="908" t="s">
        <v>107</v>
      </c>
      <c r="D48" s="908"/>
      <c r="E48" s="903">
        <v>100000</v>
      </c>
      <c r="F48" s="903"/>
      <c r="G48" t="s">
        <v>101</v>
      </c>
      <c r="H48" s="904" t="s">
        <v>108</v>
      </c>
      <c r="I48" s="904"/>
      <c r="J48" s="904"/>
      <c r="K48" s="64">
        <f>E49</f>
        <v>100000</v>
      </c>
    </row>
    <row r="49" spans="1:11" ht="26.25" customHeight="1">
      <c r="A49" s="909" t="s">
        <v>109</v>
      </c>
      <c r="B49" s="909"/>
      <c r="C49" s="910" t="s">
        <v>110</v>
      </c>
      <c r="D49" s="910"/>
      <c r="E49" s="903">
        <v>100000</v>
      </c>
      <c r="F49" s="903"/>
      <c r="G49" t="s">
        <v>101</v>
      </c>
      <c r="H49" s="904" t="s">
        <v>111</v>
      </c>
      <c r="I49" s="904"/>
      <c r="J49" s="904"/>
      <c r="K49" s="64">
        <f>E47</f>
        <v>25000</v>
      </c>
    </row>
    <row r="50" spans="1:11" s="65" customFormat="1" ht="22.5" customHeight="1">
      <c r="A50" s="911" t="s">
        <v>112</v>
      </c>
      <c r="B50" s="911"/>
      <c r="C50" s="912" t="s">
        <v>113</v>
      </c>
      <c r="D50" s="912"/>
      <c r="E50" s="903">
        <v>10000</v>
      </c>
      <c r="F50" s="903"/>
      <c r="G50" s="65" t="s">
        <v>101</v>
      </c>
      <c r="H50" s="904" t="s">
        <v>114</v>
      </c>
      <c r="I50" s="904"/>
      <c r="J50" s="904"/>
      <c r="K50" s="64">
        <v>10000</v>
      </c>
    </row>
    <row r="51" spans="1:11" ht="45" customHeight="1">
      <c r="A51" s="913" t="s">
        <v>115</v>
      </c>
      <c r="B51" s="913"/>
      <c r="C51" s="913"/>
      <c r="D51" s="913"/>
      <c r="E51" s="914">
        <v>150000</v>
      </c>
      <c r="F51" s="914"/>
      <c r="G51" s="66" t="s">
        <v>116</v>
      </c>
      <c r="H51" s="915" t="s">
        <v>117</v>
      </c>
      <c r="I51" s="915"/>
      <c r="J51" s="915"/>
      <c r="K51" s="64">
        <f>E51</f>
        <v>150000</v>
      </c>
    </row>
    <row r="52" ht="23.25">
      <c r="K52" s="67"/>
    </row>
    <row r="53" spans="1:6" ht="42.75" customHeight="1">
      <c r="A53" s="899" t="s">
        <v>59</v>
      </c>
      <c r="B53" s="899"/>
      <c r="C53" s="900" t="s">
        <v>118</v>
      </c>
      <c r="D53" s="900"/>
      <c r="E53" s="900" t="s">
        <v>119</v>
      </c>
      <c r="F53" s="900"/>
    </row>
    <row r="54" spans="1:6" ht="31.5" customHeight="1">
      <c r="A54" s="68" t="s">
        <v>120</v>
      </c>
      <c r="B54" s="69"/>
      <c r="C54" s="916" t="s">
        <v>121</v>
      </c>
      <c r="D54" s="916"/>
      <c r="E54" s="903">
        <v>15000</v>
      </c>
      <c r="F54" s="903"/>
    </row>
    <row r="55" spans="1:9" ht="35.25" customHeight="1">
      <c r="A55" s="68" t="s">
        <v>122</v>
      </c>
      <c r="B55" s="69"/>
      <c r="C55" s="916" t="s">
        <v>121</v>
      </c>
      <c r="D55" s="916"/>
      <c r="E55" s="903">
        <v>20000</v>
      </c>
      <c r="F55" s="903"/>
      <c r="G55" s="70" t="s">
        <v>123</v>
      </c>
      <c r="H55" s="71"/>
      <c r="I55" s="72">
        <v>5000</v>
      </c>
    </row>
    <row r="56" spans="1:8" ht="33.75" customHeight="1">
      <c r="A56" s="73" t="s">
        <v>124</v>
      </c>
      <c r="B56" s="74"/>
      <c r="C56" s="917" t="s">
        <v>125</v>
      </c>
      <c r="D56" s="917"/>
      <c r="E56" s="903">
        <v>40000</v>
      </c>
      <c r="F56" s="903"/>
      <c r="G56" s="918"/>
      <c r="H56" s="918"/>
    </row>
    <row r="57" spans="1:6" ht="36.75" customHeight="1">
      <c r="A57" s="73" t="s">
        <v>126</v>
      </c>
      <c r="B57" s="74"/>
      <c r="C57" s="917" t="s">
        <v>125</v>
      </c>
      <c r="D57" s="917"/>
      <c r="E57" s="903">
        <v>60000</v>
      </c>
      <c r="F57" s="903"/>
    </row>
    <row r="58" spans="1:6" ht="33" customHeight="1">
      <c r="A58" s="75" t="s">
        <v>127</v>
      </c>
      <c r="B58" s="76"/>
      <c r="C58" s="919" t="s">
        <v>128</v>
      </c>
      <c r="D58" s="919"/>
      <c r="E58" s="903">
        <v>100000</v>
      </c>
      <c r="F58" s="903"/>
    </row>
    <row r="59" spans="1:6" ht="37.5" customHeight="1">
      <c r="A59" s="75" t="s">
        <v>129</v>
      </c>
      <c r="B59" s="76"/>
      <c r="C59" s="919" t="s">
        <v>128</v>
      </c>
      <c r="D59" s="919"/>
      <c r="E59" s="903">
        <v>100000</v>
      </c>
      <c r="F59" s="903"/>
    </row>
    <row r="60" spans="1:7" ht="36" customHeight="1">
      <c r="A60" s="77" t="s">
        <v>130</v>
      </c>
      <c r="B60" s="78"/>
      <c r="C60" s="921" t="s">
        <v>131</v>
      </c>
      <c r="D60" s="921"/>
      <c r="E60" s="903">
        <v>200000</v>
      </c>
      <c r="F60" s="903"/>
      <c r="G60" t="s">
        <v>101</v>
      </c>
    </row>
    <row r="61" spans="1:7" ht="34.5" customHeight="1">
      <c r="A61" s="77" t="s">
        <v>132</v>
      </c>
      <c r="B61" s="78"/>
      <c r="C61" s="921" t="s">
        <v>133</v>
      </c>
      <c r="D61" s="921"/>
      <c r="E61" s="903">
        <v>200000</v>
      </c>
      <c r="F61" s="903"/>
      <c r="G61" t="s">
        <v>101</v>
      </c>
    </row>
    <row r="62" spans="1:6" ht="31.5" customHeight="1">
      <c r="A62" s="79" t="s">
        <v>134</v>
      </c>
      <c r="B62" s="74"/>
      <c r="C62" s="73"/>
      <c r="D62" s="80" t="s">
        <v>125</v>
      </c>
      <c r="E62" s="903">
        <v>50000</v>
      </c>
      <c r="F62" s="903"/>
    </row>
    <row r="63" spans="1:6" ht="27.75" customHeight="1">
      <c r="A63" s="81" t="s">
        <v>135</v>
      </c>
      <c r="B63" s="82"/>
      <c r="C63" s="82"/>
      <c r="D63" s="83" t="s">
        <v>125</v>
      </c>
      <c r="E63" s="920">
        <v>100000</v>
      </c>
      <c r="F63" s="920"/>
    </row>
    <row r="64" spans="1:6" ht="24.75" customHeight="1">
      <c r="A64" s="84" t="s">
        <v>136</v>
      </c>
      <c r="B64" s="85"/>
      <c r="C64" s="85"/>
      <c r="D64" s="85" t="s">
        <v>137</v>
      </c>
      <c r="E64" s="903">
        <v>50000</v>
      </c>
      <c r="F64" s="903"/>
    </row>
    <row r="65" spans="1:6" ht="32.25" customHeight="1">
      <c r="A65" s="84" t="s">
        <v>138</v>
      </c>
      <c r="B65" s="86"/>
      <c r="C65" s="86"/>
      <c r="D65" s="86" t="s">
        <v>137</v>
      </c>
      <c r="E65" s="920">
        <v>75000</v>
      </c>
      <c r="F65" s="920"/>
    </row>
    <row r="66" spans="1:6" ht="24.75" customHeight="1">
      <c r="A66" s="87"/>
      <c r="B66" s="88"/>
      <c r="C66" s="88"/>
      <c r="D66" s="88"/>
      <c r="E66" s="89"/>
      <c r="F66" s="89"/>
    </row>
    <row r="67" ht="27" customHeight="1"/>
    <row r="68" ht="36" customHeight="1"/>
    <row r="69" ht="33" customHeight="1"/>
    <row r="81" ht="15">
      <c r="A81" t="s">
        <v>136</v>
      </c>
    </row>
    <row r="82" ht="15">
      <c r="A82" t="s">
        <v>138</v>
      </c>
    </row>
  </sheetData>
  <sheetProtection selectLockedCells="1" selectUnlockedCells="1"/>
  <mergeCells count="61">
    <mergeCell ref="E62:F62"/>
    <mergeCell ref="E63:F63"/>
    <mergeCell ref="E64:F64"/>
    <mergeCell ref="E65:F65"/>
    <mergeCell ref="C59:D59"/>
    <mergeCell ref="E59:F59"/>
    <mergeCell ref="C60:D60"/>
    <mergeCell ref="E60:F60"/>
    <mergeCell ref="C61:D61"/>
    <mergeCell ref="E61:F61"/>
    <mergeCell ref="C56:D56"/>
    <mergeCell ref="E56:F56"/>
    <mergeCell ref="G56:H56"/>
    <mergeCell ref="C57:D57"/>
    <mergeCell ref="E57:F57"/>
    <mergeCell ref="C58:D58"/>
    <mergeCell ref="E58:F58"/>
    <mergeCell ref="A53:B53"/>
    <mergeCell ref="C53:D53"/>
    <mergeCell ref="E53:F53"/>
    <mergeCell ref="C54:D54"/>
    <mergeCell ref="E54:F54"/>
    <mergeCell ref="C55:D55"/>
    <mergeCell ref="E55:F55"/>
    <mergeCell ref="A50:B50"/>
    <mergeCell ref="C50:D50"/>
    <mergeCell ref="E50:F50"/>
    <mergeCell ref="H50:J50"/>
    <mergeCell ref="A51:D51"/>
    <mergeCell ref="E51:F51"/>
    <mergeCell ref="H51:J51"/>
    <mergeCell ref="A48:B48"/>
    <mergeCell ref="C48:D48"/>
    <mergeCell ref="E48:F48"/>
    <mergeCell ref="H48:J48"/>
    <mergeCell ref="A49:B49"/>
    <mergeCell ref="C49:D49"/>
    <mergeCell ref="E49:F49"/>
    <mergeCell ref="H49:J49"/>
    <mergeCell ref="E45:F45"/>
    <mergeCell ref="A46:B46"/>
    <mergeCell ref="C46:D46"/>
    <mergeCell ref="E46:F46"/>
    <mergeCell ref="H46:J46"/>
    <mergeCell ref="A47:B47"/>
    <mergeCell ref="C47:D47"/>
    <mergeCell ref="E47:F47"/>
    <mergeCell ref="H47:J47"/>
    <mergeCell ref="A40:C40"/>
    <mergeCell ref="A41:B41"/>
    <mergeCell ref="A42:B42"/>
    <mergeCell ref="A43:B43"/>
    <mergeCell ref="A45:B45"/>
    <mergeCell ref="C45:D45"/>
    <mergeCell ref="A28:H28"/>
    <mergeCell ref="A29:H29"/>
    <mergeCell ref="A30:H30"/>
    <mergeCell ref="A31:C31"/>
    <mergeCell ref="E31:G31"/>
    <mergeCell ref="B32:C32"/>
    <mergeCell ref="F32:G32"/>
  </mergeCells>
  <hyperlinks>
    <hyperlink ref="K4" r:id="rId1" display="Income Tax deduction - Section 80C"/>
  </hyperlinks>
  <printOptions/>
  <pageMargins left="0.75" right="0.75" top="1" bottom="1" header="0.5118055555555555" footer="0.5118055555555555"/>
  <pageSetup horizontalDpi="300" verticalDpi="300" orientation="portrait"/>
  <drawing r:id="rId4"/>
  <legacyDrawing r:id="rId3"/>
</worksheet>
</file>

<file path=xl/worksheets/sheet3.xml><?xml version="1.0" encoding="utf-8"?>
<worksheet xmlns="http://schemas.openxmlformats.org/spreadsheetml/2006/main" xmlns:r="http://schemas.openxmlformats.org/officeDocument/2006/relationships">
  <sheetPr>
    <tabColor indexed="18"/>
  </sheetPr>
  <dimension ref="A1:IN647"/>
  <sheetViews>
    <sheetView showGridLines="0" tabSelected="1" zoomScale="88" zoomScaleNormal="88" zoomScalePageLayoutView="0" workbookViewId="0" topLeftCell="A23">
      <selection activeCell="A41" sqref="A41"/>
    </sheetView>
  </sheetViews>
  <sheetFormatPr defaultColWidth="9.140625" defaultRowHeight="15"/>
  <cols>
    <col min="1" max="1" width="25.8515625" style="0" customWidth="1"/>
    <col min="2" max="2" width="11.7109375" style="0" customWidth="1"/>
    <col min="3" max="3" width="18.28125" style="0" customWidth="1"/>
    <col min="4" max="4" width="14.57421875" style="0" customWidth="1"/>
    <col min="5" max="5" width="13.140625" style="0" customWidth="1"/>
    <col min="6" max="6" width="0.42578125" style="0" customWidth="1"/>
    <col min="7" max="7" width="27.8515625" style="0" customWidth="1"/>
    <col min="8" max="8" width="19.7109375" style="0" customWidth="1"/>
    <col min="9" max="9" width="2.7109375" style="0" customWidth="1"/>
    <col min="10" max="10" width="12.421875" style="0" customWidth="1"/>
    <col min="12" max="12" width="11.00390625" style="0" customWidth="1"/>
    <col min="13" max="13" width="0.13671875" style="0" customWidth="1"/>
    <col min="14" max="14" width="14.00390625" style="0" customWidth="1"/>
    <col min="15" max="15" width="12.00390625" style="0" customWidth="1"/>
    <col min="16" max="16" width="11.28125" style="0" customWidth="1"/>
    <col min="17" max="17" width="11.57421875" style="0" customWidth="1"/>
    <col min="238" max="238" width="8.00390625" style="0" customWidth="1"/>
    <col min="239" max="243" width="9.140625" style="0" hidden="1" customWidth="1"/>
    <col min="244" max="244" width="29.421875" style="0" customWidth="1"/>
    <col min="246" max="246" width="24.28125" style="0" customWidth="1"/>
    <col min="248" max="248" width="16.57421875" style="0" customWidth="1"/>
  </cols>
  <sheetData>
    <row r="1" spans="1:18" ht="17.25" customHeight="1">
      <c r="A1" s="922" t="str">
        <f>" Income Tax "&amp;(H5)&amp;"- "&amp;(J5)&amp;"       ( A4 size prints only)  "</f>
        <v> Income Tax 2014- 2015       ( A4 size prints only)  </v>
      </c>
      <c r="B1" s="922"/>
      <c r="C1" s="922"/>
      <c r="D1" s="922"/>
      <c r="E1" s="922"/>
      <c r="F1" s="922"/>
      <c r="G1" s="922"/>
      <c r="H1" s="922"/>
      <c r="I1" s="922"/>
      <c r="J1" s="922"/>
      <c r="K1" s="90"/>
      <c r="L1" s="90"/>
      <c r="M1" s="90"/>
      <c r="N1" s="90"/>
      <c r="O1" s="90"/>
      <c r="P1" s="91"/>
      <c r="Q1" s="92"/>
      <c r="R1" s="92"/>
    </row>
    <row r="2" spans="1:49" ht="21" customHeight="1">
      <c r="A2" s="923" t="s">
        <v>927</v>
      </c>
      <c r="B2" s="923"/>
      <c r="C2" s="923"/>
      <c r="D2" s="923"/>
      <c r="E2" s="923"/>
      <c r="F2" s="93"/>
      <c r="G2" s="924" t="str">
        <f>CONCATENATE("Net Taxable Amount- ",IF('it pro'!J188=0,"ZERO","Rs."&amp;(SUM('it pro'!J188-'ITAnnexure-I'!U24))&amp;""))</f>
        <v>Net Taxable Amount- Rs.246050</v>
      </c>
      <c r="H2" s="924"/>
      <c r="I2" s="924"/>
      <c r="J2" s="924"/>
      <c r="N2" s="925" t="s">
        <v>139</v>
      </c>
      <c r="O2" s="925"/>
      <c r="P2" s="925"/>
      <c r="Q2" s="925"/>
      <c r="AN2" s="94">
        <f>IF(G28=AN3,1,2)</f>
        <v>2</v>
      </c>
      <c r="AW2" t="str">
        <f>'it pro'!A136</f>
        <v>Not applicable</v>
      </c>
    </row>
    <row r="3" spans="1:49" ht="5.25" customHeight="1">
      <c r="A3" s="926" t="str">
        <f>CONCATENATE("D.A- ",C647,"% Arrears","(July to "&amp;('it pro'!F142)&amp;" )","-","Claimed")</f>
        <v>D.A- 77.896% Arrears(July to Sep-2014 )-Claimed</v>
      </c>
      <c r="B3" s="926"/>
      <c r="C3" s="926"/>
      <c r="D3" s="926"/>
      <c r="E3" s="95"/>
      <c r="F3" s="95"/>
      <c r="G3" s="924"/>
      <c r="H3" s="924"/>
      <c r="I3" s="924"/>
      <c r="J3" s="924"/>
      <c r="N3" s="925"/>
      <c r="O3" s="925"/>
      <c r="P3" s="925"/>
      <c r="Q3" s="925"/>
      <c r="AN3" s="94" t="s">
        <v>140</v>
      </c>
      <c r="AW3" t="str">
        <f>'it pro'!A137</f>
        <v>Actual D.A present as on Jul-2014</v>
      </c>
    </row>
    <row r="4" spans="1:40" ht="21.75" customHeight="1">
      <c r="A4" s="926"/>
      <c r="B4" s="926"/>
      <c r="C4" s="926"/>
      <c r="D4" s="926"/>
      <c r="E4" s="96"/>
      <c r="F4" s="96"/>
      <c r="G4" s="927" t="str">
        <f>CONCATENATE("Tax to be Paid","-",IF('ITAnnexure-II'!M66=0,"No Tax","Rs."&amp;('ITAnnexure-II'!M66)&amp;""))</f>
        <v>Tax to be Paid-Rs.23283</v>
      </c>
      <c r="H4" s="927"/>
      <c r="I4" s="927"/>
      <c r="J4" s="927"/>
      <c r="N4" s="925"/>
      <c r="O4" s="925"/>
      <c r="P4" s="925"/>
      <c r="Q4" s="925"/>
      <c r="AN4" s="94" t="s">
        <v>138</v>
      </c>
    </row>
    <row r="5" spans="1:17" ht="22.5" customHeight="1">
      <c r="A5" s="97" t="s">
        <v>141</v>
      </c>
      <c r="B5" s="928" t="s">
        <v>928</v>
      </c>
      <c r="C5" s="928"/>
      <c r="D5" s="98" t="s">
        <v>142</v>
      </c>
      <c r="E5" s="929" t="s">
        <v>143</v>
      </c>
      <c r="F5" s="929"/>
      <c r="G5" s="99" t="s">
        <v>144</v>
      </c>
      <c r="H5" s="100">
        <v>2014</v>
      </c>
      <c r="I5" s="101" t="s">
        <v>145</v>
      </c>
      <c r="J5" s="100">
        <f>H5+1</f>
        <v>2015</v>
      </c>
      <c r="N5" s="102" t="s">
        <v>146</v>
      </c>
      <c r="O5" s="102" t="s">
        <v>147</v>
      </c>
      <c r="P5" s="102" t="s">
        <v>148</v>
      </c>
      <c r="Q5" s="102" t="s">
        <v>149</v>
      </c>
    </row>
    <row r="6" spans="1:17" ht="23.25" customHeight="1">
      <c r="A6" s="103" t="s">
        <v>150</v>
      </c>
      <c r="B6" s="930" t="s">
        <v>929</v>
      </c>
      <c r="C6" s="930"/>
      <c r="D6" s="98" t="s">
        <v>151</v>
      </c>
      <c r="E6" s="104" t="s">
        <v>152</v>
      </c>
      <c r="F6" s="105"/>
      <c r="G6" s="106" t="str">
        <f>"Basic Pay in  "&amp;('it pro'!B86)&amp;""</f>
        <v>Basic Pay in  Jan-2014</v>
      </c>
      <c r="H6" s="92"/>
      <c r="I6" s="92"/>
      <c r="J6" s="92"/>
      <c r="K6" s="107"/>
      <c r="L6" s="107"/>
      <c r="M6" s="107"/>
      <c r="N6" s="108" t="str">
        <f>'it pro'!E91</f>
        <v>Jan-2014</v>
      </c>
      <c r="O6" s="109">
        <f>'it pro'!F113</f>
        <v>20680</v>
      </c>
      <c r="P6" s="110">
        <f>'it pro'!G113</f>
        <v>63.344</v>
      </c>
      <c r="Q6" s="111">
        <f>'it pro'!I91</f>
        <v>12</v>
      </c>
    </row>
    <row r="7" spans="1:17" ht="24.75" customHeight="1">
      <c r="A7" s="103" t="s">
        <v>153</v>
      </c>
      <c r="B7" s="931" t="s">
        <v>930</v>
      </c>
      <c r="C7" s="931"/>
      <c r="D7" s="112"/>
      <c r="E7" s="112"/>
      <c r="F7" s="105"/>
      <c r="G7" s="106" t="s">
        <v>154</v>
      </c>
      <c r="H7" s="92"/>
      <c r="I7" s="92"/>
      <c r="J7" s="92"/>
      <c r="N7" s="108" t="str">
        <f>'it pro'!E92</f>
        <v>Feb-2014</v>
      </c>
      <c r="O7" s="109">
        <f>'it pro'!F114</f>
        <v>20680</v>
      </c>
      <c r="P7" s="110">
        <f>'it pro'!G114</f>
        <v>63.344</v>
      </c>
      <c r="Q7" s="111">
        <f>'it pro'!I92</f>
        <v>12</v>
      </c>
    </row>
    <row r="8" spans="1:19" ht="25.5" customHeight="1">
      <c r="A8" s="113" t="s">
        <v>155</v>
      </c>
      <c r="B8" s="931" t="s">
        <v>926</v>
      </c>
      <c r="C8" s="931"/>
      <c r="D8" s="931"/>
      <c r="E8" s="931"/>
      <c r="F8" s="105"/>
      <c r="G8" s="106" t="s">
        <v>156</v>
      </c>
      <c r="H8" s="92"/>
      <c r="I8" s="92"/>
      <c r="J8" s="92"/>
      <c r="N8" s="108" t="str">
        <f>'it pro'!E93</f>
        <v>Mar-2014</v>
      </c>
      <c r="O8" s="109">
        <f>'it pro'!F115</f>
        <v>20680</v>
      </c>
      <c r="P8" s="110">
        <f>'it pro'!G115</f>
        <v>63.344</v>
      </c>
      <c r="Q8" s="111">
        <f>'it pro'!I93</f>
        <v>12</v>
      </c>
      <c r="S8" s="65"/>
    </row>
    <row r="9" spans="1:17" ht="25.5" customHeight="1">
      <c r="A9" s="114" t="s">
        <v>157</v>
      </c>
      <c r="B9" s="931" t="s">
        <v>926</v>
      </c>
      <c r="C9" s="931"/>
      <c r="D9" s="931"/>
      <c r="E9" s="931"/>
      <c r="F9" s="105"/>
      <c r="G9" s="106" t="s">
        <v>158</v>
      </c>
      <c r="H9" s="932">
        <v>0</v>
      </c>
      <c r="I9" s="932"/>
      <c r="J9" s="932"/>
      <c r="K9" s="115"/>
      <c r="L9" s="115"/>
      <c r="M9" s="115"/>
      <c r="N9" s="108" t="str">
        <f>'it pro'!E94</f>
        <v>Apr-2014</v>
      </c>
      <c r="O9" s="109">
        <f>'it pro'!F116</f>
        <v>20680</v>
      </c>
      <c r="P9" s="110">
        <f>'it pro'!G116</f>
        <v>63.344</v>
      </c>
      <c r="Q9" s="111">
        <f>'it pro'!I94</f>
        <v>12</v>
      </c>
    </row>
    <row r="10" spans="1:17" ht="24.75" customHeight="1">
      <c r="A10" s="116" t="s">
        <v>159</v>
      </c>
      <c r="C10" s="117" t="str">
        <f>'it pro'!T34</f>
        <v> ZP GPF  A/c No</v>
      </c>
      <c r="D10" s="933" t="s">
        <v>160</v>
      </c>
      <c r="E10" s="933"/>
      <c r="F10" s="105"/>
      <c r="G10" s="106" t="s">
        <v>97</v>
      </c>
      <c r="H10" s="934">
        <v>0</v>
      </c>
      <c r="I10" s="934"/>
      <c r="J10" s="934"/>
      <c r="K10" s="935">
        <f>'it pro'!B67</f>
      </c>
      <c r="L10" s="935"/>
      <c r="M10" s="118"/>
      <c r="N10" s="108" t="str">
        <f>'it pro'!E95</f>
        <v>May-2014</v>
      </c>
      <c r="O10" s="109">
        <f>'it pro'!F117</f>
        <v>20680</v>
      </c>
      <c r="P10" s="110">
        <f>'it pro'!G117</f>
        <v>71.904</v>
      </c>
      <c r="Q10" s="111">
        <f>'it pro'!I95</f>
        <v>12</v>
      </c>
    </row>
    <row r="11" spans="1:17" ht="30.75" customHeight="1">
      <c r="A11" s="119" t="s">
        <v>161</v>
      </c>
      <c r="B11" s="120"/>
      <c r="C11" s="936" t="str">
        <f>""&amp;('it pro'!S155)&amp;"(OR)  Enter monthly rent"</f>
        <v>To get HRA exemption enter Rent@PM 6300 (OR)  Enter monthly rent</v>
      </c>
      <c r="D11" s="936"/>
      <c r="E11" s="121"/>
      <c r="F11" s="122"/>
      <c r="G11" s="123" t="s">
        <v>162</v>
      </c>
      <c r="H11" s="124"/>
      <c r="I11" s="124"/>
      <c r="J11" s="92"/>
      <c r="K11" s="935"/>
      <c r="L11" s="935"/>
      <c r="M11" s="118"/>
      <c r="N11" s="108" t="str">
        <f>'it pro'!E96</f>
        <v>Jun-2014</v>
      </c>
      <c r="O11" s="109">
        <f>'it pro'!F118</f>
        <v>20680</v>
      </c>
      <c r="P11" s="110">
        <f>'it pro'!G118</f>
        <v>71.904</v>
      </c>
      <c r="Q11" s="111">
        <f>'it pro'!I96</f>
        <v>12</v>
      </c>
    </row>
    <row r="12" spans="1:17" ht="27.75" customHeight="1">
      <c r="A12" s="119" t="s">
        <v>163</v>
      </c>
      <c r="B12" s="125"/>
      <c r="C12" s="937" t="s">
        <v>164</v>
      </c>
      <c r="D12" s="937"/>
      <c r="E12" s="126">
        <v>0</v>
      </c>
      <c r="F12" s="105"/>
      <c r="G12" s="127" t="s">
        <v>165</v>
      </c>
      <c r="H12" s="128"/>
      <c r="I12" s="124"/>
      <c r="J12" s="92"/>
      <c r="K12" s="935"/>
      <c r="L12" s="935"/>
      <c r="N12" s="108" t="str">
        <f>'it pro'!E97</f>
        <v>Jul-2014</v>
      </c>
      <c r="O12" s="109">
        <f>'it pro'!F119</f>
        <v>20680</v>
      </c>
      <c r="P12" s="110">
        <f>'it pro'!G119</f>
        <v>71.904</v>
      </c>
      <c r="Q12" s="111">
        <f>'it pro'!I97</f>
        <v>12</v>
      </c>
    </row>
    <row r="13" spans="1:17" ht="24.75" customHeight="1">
      <c r="A13" s="119" t="s">
        <v>166</v>
      </c>
      <c r="B13" s="125"/>
      <c r="C13" s="129" t="s">
        <v>167</v>
      </c>
      <c r="D13" s="130"/>
      <c r="E13" s="125">
        <v>0</v>
      </c>
      <c r="F13" s="131"/>
      <c r="G13" s="132" t="s">
        <v>168</v>
      </c>
      <c r="H13" s="128"/>
      <c r="I13" s="124"/>
      <c r="J13" s="92"/>
      <c r="K13" s="938"/>
      <c r="L13" s="938"/>
      <c r="N13" s="108" t="str">
        <f>'it pro'!E98</f>
        <v>Aug-2014</v>
      </c>
      <c r="O13" s="109">
        <f>'it pro'!F120</f>
        <v>20680</v>
      </c>
      <c r="P13" s="110">
        <f>'it pro'!G120</f>
        <v>71.904</v>
      </c>
      <c r="Q13" s="111">
        <f>'it pro'!I98</f>
        <v>12</v>
      </c>
    </row>
    <row r="14" spans="1:17" ht="27" customHeight="1">
      <c r="A14" s="133" t="s">
        <v>169</v>
      </c>
      <c r="B14" s="134">
        <v>0</v>
      </c>
      <c r="C14" s="129" t="s">
        <v>170</v>
      </c>
      <c r="D14" s="120"/>
      <c r="E14" s="135">
        <v>0</v>
      </c>
      <c r="F14" s="131"/>
      <c r="G14" s="939" t="s">
        <v>171</v>
      </c>
      <c r="H14" s="939"/>
      <c r="I14" s="136"/>
      <c r="J14" s="136"/>
      <c r="N14" s="108" t="str">
        <f>'it pro'!E99</f>
        <v>Sep-2014</v>
      </c>
      <c r="O14" s="109">
        <f>'it pro'!F121</f>
        <v>20680</v>
      </c>
      <c r="P14" s="110">
        <f>'it pro'!G121</f>
        <v>71.904</v>
      </c>
      <c r="Q14" s="111">
        <f>'it pro'!I99</f>
        <v>12</v>
      </c>
    </row>
    <row r="15" spans="1:17" ht="24.75" customHeight="1">
      <c r="A15" s="119" t="s">
        <v>172</v>
      </c>
      <c r="B15" s="137"/>
      <c r="C15" s="129" t="s">
        <v>173</v>
      </c>
      <c r="D15" s="120"/>
      <c r="E15" s="137"/>
      <c r="F15" s="131"/>
      <c r="G15" s="940" t="s">
        <v>174</v>
      </c>
      <c r="H15" s="940"/>
      <c r="I15" s="940"/>
      <c r="J15" s="138"/>
      <c r="N15" s="108" t="str">
        <f>'it pro'!E100</f>
        <v>Oct-2014</v>
      </c>
      <c r="O15" s="109">
        <f>'it pro'!F122</f>
        <v>20680</v>
      </c>
      <c r="P15" s="110">
        <f>'it pro'!G122</f>
        <v>77.896</v>
      </c>
      <c r="Q15" s="111">
        <f>'it pro'!I100</f>
        <v>12</v>
      </c>
    </row>
    <row r="16" spans="1:17" ht="24" customHeight="1">
      <c r="A16" s="103" t="s">
        <v>175</v>
      </c>
      <c r="B16" s="139" t="s">
        <v>926</v>
      </c>
      <c r="C16" s="129" t="s">
        <v>176</v>
      </c>
      <c r="D16" s="125"/>
      <c r="E16" s="140">
        <v>0</v>
      </c>
      <c r="F16" s="105"/>
      <c r="I16" s="141" t="s">
        <v>65</v>
      </c>
      <c r="J16" s="142">
        <v>0</v>
      </c>
      <c r="N16" s="108" t="str">
        <f>'it pro'!E101</f>
        <v>Nov-2014</v>
      </c>
      <c r="O16" s="109">
        <f>'it pro'!F123</f>
        <v>21250</v>
      </c>
      <c r="P16" s="110">
        <f>'it pro'!G123</f>
        <v>77.896</v>
      </c>
      <c r="Q16" s="111">
        <f>'it pro'!I101</f>
        <v>12</v>
      </c>
    </row>
    <row r="17" spans="1:17" ht="24.75" customHeight="1">
      <c r="A17" s="97" t="s">
        <v>177</v>
      </c>
      <c r="B17" s="139" t="s">
        <v>926</v>
      </c>
      <c r="C17" s="129" t="s">
        <v>178</v>
      </c>
      <c r="D17" s="125"/>
      <c r="E17" s="140">
        <v>0</v>
      </c>
      <c r="F17" s="105"/>
      <c r="G17" s="143"/>
      <c r="H17" s="144"/>
      <c r="I17" s="141" t="s">
        <v>65</v>
      </c>
      <c r="J17" s="142">
        <v>0</v>
      </c>
      <c r="N17" s="108" t="str">
        <f>'it pro'!E102</f>
        <v>Dec-2014</v>
      </c>
      <c r="O17" s="109">
        <f>'it pro'!F124</f>
        <v>21250</v>
      </c>
      <c r="P17" s="110">
        <f>'it pro'!G124</f>
        <v>77.896</v>
      </c>
      <c r="Q17" s="111">
        <f>'it pro'!I102</f>
        <v>12</v>
      </c>
    </row>
    <row r="18" spans="1:17" ht="24.75" customHeight="1">
      <c r="A18" s="97" t="s">
        <v>179</v>
      </c>
      <c r="B18" s="139" t="s">
        <v>926</v>
      </c>
      <c r="C18" s="129" t="s">
        <v>180</v>
      </c>
      <c r="D18" s="125"/>
      <c r="E18" s="140">
        <v>0</v>
      </c>
      <c r="F18" s="105"/>
      <c r="I18" s="141" t="s">
        <v>65</v>
      </c>
      <c r="J18" s="142">
        <v>0</v>
      </c>
      <c r="N18" s="108" t="str">
        <f>'it pro'!E103</f>
        <v>Jan-2015</v>
      </c>
      <c r="O18" s="109">
        <f>'it pro'!F125</f>
        <v>21250</v>
      </c>
      <c r="P18" s="110">
        <f>'it pro'!G125</f>
        <v>77.896</v>
      </c>
      <c r="Q18" s="111">
        <f>'it pro'!I103</f>
        <v>12</v>
      </c>
    </row>
    <row r="19" spans="1:17" ht="24" customHeight="1">
      <c r="A19" s="97" t="s">
        <v>181</v>
      </c>
      <c r="B19" s="139" t="s">
        <v>926</v>
      </c>
      <c r="C19" s="129" t="s">
        <v>182</v>
      </c>
      <c r="D19" s="125"/>
      <c r="E19" s="140">
        <v>0</v>
      </c>
      <c r="F19" s="105"/>
      <c r="G19" s="143"/>
      <c r="H19" s="145"/>
      <c r="I19" s="141" t="s">
        <v>65</v>
      </c>
      <c r="J19" s="142">
        <v>0</v>
      </c>
      <c r="N19" s="146" t="str">
        <f>'it pro'!E104</f>
        <v>Feb-2015</v>
      </c>
      <c r="O19" s="147">
        <f>'it pro'!F126</f>
        <v>21250</v>
      </c>
      <c r="P19" s="148">
        <f>'it pro'!G126</f>
        <v>77.896</v>
      </c>
      <c r="Q19" s="149">
        <f>'it pro'!I104</f>
        <v>12</v>
      </c>
    </row>
    <row r="20" spans="1:17" ht="23.25" customHeight="1">
      <c r="A20" s="150" t="s">
        <v>183</v>
      </c>
      <c r="B20" s="151">
        <v>20</v>
      </c>
      <c r="C20" s="152" t="s">
        <v>184</v>
      </c>
      <c r="D20" s="153"/>
      <c r="E20" s="140">
        <v>20</v>
      </c>
      <c r="F20" s="105"/>
      <c r="G20" s="145"/>
      <c r="H20" s="145"/>
      <c r="I20" s="141" t="s">
        <v>65</v>
      </c>
      <c r="J20" s="142">
        <v>0</v>
      </c>
      <c r="N20" s="941" t="str">
        <f>IF('it pro'!Q34=3,CONCATENATE("(Jan to "&amp;('it pro'!F140)&amp;") Total CPS Amount . Rs-",'ITAnnexure-I'!E22,"                                                  Credited to PRAN A/C No.    Rs -",'ITAnnexure-I'!N22,".                                                                                                 paid in cash .    Rs- ",'ITAnnexure-I'!W22),CONCATENATE("I ST HALF DA ARREARS","  Rs - ",'ITAnnexure-I'!E22))</f>
        <v>I ST HALF DA ARREARS  Rs - 7080</v>
      </c>
      <c r="O20" s="941"/>
      <c r="P20" s="941"/>
      <c r="Q20" s="941"/>
    </row>
    <row r="21" spans="1:17" ht="24.75" customHeight="1">
      <c r="A21" s="942" t="s">
        <v>185</v>
      </c>
      <c r="B21" s="942"/>
      <c r="C21" s="942"/>
      <c r="E21" s="140">
        <v>90</v>
      </c>
      <c r="F21" s="131"/>
      <c r="G21" s="154"/>
      <c r="H21" s="144"/>
      <c r="I21" s="141" t="s">
        <v>65</v>
      </c>
      <c r="J21" s="142">
        <v>0</v>
      </c>
      <c r="N21" s="941"/>
      <c r="O21" s="941"/>
      <c r="P21" s="941"/>
      <c r="Q21" s="941"/>
    </row>
    <row r="22" spans="1:17" ht="21.75" customHeight="1">
      <c r="A22" s="943" t="s">
        <v>186</v>
      </c>
      <c r="B22" s="943"/>
      <c r="C22" s="155"/>
      <c r="F22" s="131"/>
      <c r="G22" s="944"/>
      <c r="H22" s="944"/>
      <c r="I22" s="156" t="s">
        <v>65</v>
      </c>
      <c r="J22" s="142">
        <v>0</v>
      </c>
      <c r="N22" s="941"/>
      <c r="O22" s="941"/>
      <c r="P22" s="941"/>
      <c r="Q22" s="941"/>
    </row>
    <row r="23" spans="1:248" ht="22.5" customHeight="1">
      <c r="A23" s="157" t="s">
        <v>187</v>
      </c>
      <c r="B23" s="945" t="s">
        <v>188</v>
      </c>
      <c r="C23" s="945"/>
      <c r="D23" s="158"/>
      <c r="E23" s="159"/>
      <c r="F23" s="160"/>
      <c r="G23" s="946" t="s">
        <v>97</v>
      </c>
      <c r="H23" s="946"/>
      <c r="I23" s="161" t="s">
        <v>65</v>
      </c>
      <c r="J23" s="142">
        <v>0</v>
      </c>
      <c r="N23" s="947" t="str">
        <f>IF('it pro'!Q34=3,CONCATENATE("(July to "&amp;('it pro'!F142)&amp;") Total CPS Amount . Rs-",'ITAnnexure-I'!E23,"                                                  Credited to PRAN A/C No.    Rs -",'ITAnnexure-I'!N23,".                                                                                                 paid in cash .    Rs- ",'ITAnnexure-I'!W23),CONCATENATE("SECOND HALF DA ARREARS","  Rs - ",'ITAnnexure-I'!E23))</f>
        <v>SECOND HALF DA ARREARS  Rs - 3717</v>
      </c>
      <c r="O23" s="947"/>
      <c r="P23" s="947"/>
      <c r="Q23" s="947"/>
      <c r="IL23" s="162"/>
      <c r="IM23" s="162"/>
      <c r="IN23" s="162"/>
    </row>
    <row r="24" spans="1:248" ht="24.75" customHeight="1">
      <c r="A24" s="948" t="s">
        <v>189</v>
      </c>
      <c r="B24" s="948"/>
      <c r="C24" s="948"/>
      <c r="D24" s="949" t="s">
        <v>190</v>
      </c>
      <c r="E24" s="949"/>
      <c r="F24" s="163"/>
      <c r="G24" s="950" t="s">
        <v>191</v>
      </c>
      <c r="H24" s="950"/>
      <c r="I24" s="950"/>
      <c r="J24" s="950"/>
      <c r="N24" s="947"/>
      <c r="O24" s="947"/>
      <c r="P24" s="947"/>
      <c r="Q24" s="947"/>
      <c r="IL24" s="164"/>
      <c r="IM24" s="164"/>
      <c r="IN24" s="164"/>
    </row>
    <row r="25" spans="1:248" ht="21.75" customHeight="1">
      <c r="A25" s="165" t="s">
        <v>192</v>
      </c>
      <c r="B25" s="951" t="s">
        <v>926</v>
      </c>
      <c r="C25" s="951"/>
      <c r="D25" s="166" t="str">
        <f>'ITAnnexure-I'!B4</f>
        <v>Mar-2014</v>
      </c>
      <c r="E25" s="167">
        <v>0</v>
      </c>
      <c r="F25" s="163"/>
      <c r="G25" s="65"/>
      <c r="H25" s="65"/>
      <c r="I25" s="161" t="s">
        <v>65</v>
      </c>
      <c r="J25" s="168">
        <v>0</v>
      </c>
      <c r="L25" s="952" t="str">
        <f>IF('it pro'!$Q$18=1,"",IF('ITAnnexure-I'!F24&lt;36000,"No need to produce rent receipt due to below 36000 HRA  (for your monthly rent@ Rs."&amp;('it pro'!J162)&amp;")",IF('ITAnnexure-I'!F24=36000,"No need to produce rent receipt due to  equal to  36000 HRA  (for your monthly rent@ Rs."&amp;('it pro'!J162)&amp;")","You have to Produce rent receipt due to above 36000 HRA (for your monthly rent@ Rs."&amp;('it pro'!J162)&amp;")")))</f>
        <v>No need to produce rent receipt due to below 36000 HRA  (for your monthly rent@ Rs.6300)</v>
      </c>
      <c r="M25" s="952"/>
      <c r="N25" s="952"/>
      <c r="O25" s="952"/>
      <c r="P25" s="952"/>
      <c r="Q25" s="952"/>
      <c r="R25" s="952"/>
      <c r="S25" s="952"/>
      <c r="IL25" s="169"/>
      <c r="IM25" s="164"/>
      <c r="IN25" s="164"/>
    </row>
    <row r="26" spans="1:248" ht="21.75" customHeight="1">
      <c r="A26" s="119" t="s">
        <v>142</v>
      </c>
      <c r="B26" s="953" t="s">
        <v>926</v>
      </c>
      <c r="C26" s="953"/>
      <c r="D26" s="166" t="str">
        <f>'ITAnnexure-I'!B5</f>
        <v>Apr-2014</v>
      </c>
      <c r="E26" s="167">
        <v>0</v>
      </c>
      <c r="F26" s="163"/>
      <c r="G26" s="65"/>
      <c r="H26" s="65"/>
      <c r="I26" s="161" t="s">
        <v>65</v>
      </c>
      <c r="J26" s="168">
        <v>0</v>
      </c>
      <c r="L26" s="952"/>
      <c r="M26" s="952"/>
      <c r="N26" s="952"/>
      <c r="O26" s="952"/>
      <c r="P26" s="952"/>
      <c r="Q26" s="952"/>
      <c r="R26" s="952"/>
      <c r="S26" s="952"/>
      <c r="IL26" s="169"/>
      <c r="IM26" s="164"/>
      <c r="IN26" s="164"/>
    </row>
    <row r="27" spans="1:19" ht="21" customHeight="1">
      <c r="A27" s="170" t="s">
        <v>193</v>
      </c>
      <c r="B27" s="953" t="s">
        <v>926</v>
      </c>
      <c r="C27" s="953"/>
      <c r="D27" s="166" t="str">
        <f>'ITAnnexure-I'!B6</f>
        <v>May-2014</v>
      </c>
      <c r="E27" s="167">
        <v>0</v>
      </c>
      <c r="F27" s="171"/>
      <c r="G27" s="954"/>
      <c r="H27" s="954"/>
      <c r="I27" s="161" t="s">
        <v>65</v>
      </c>
      <c r="J27" s="172">
        <v>0</v>
      </c>
      <c r="L27" s="952"/>
      <c r="M27" s="952"/>
      <c r="N27" s="952"/>
      <c r="O27" s="952"/>
      <c r="P27" s="952"/>
      <c r="Q27" s="952"/>
      <c r="R27" s="952"/>
      <c r="S27" s="952"/>
    </row>
    <row r="28" spans="1:19" ht="23.25" customHeight="1">
      <c r="A28" s="119" t="s">
        <v>194</v>
      </c>
      <c r="B28" s="955"/>
      <c r="C28" s="955"/>
      <c r="D28" s="166" t="str">
        <f>'ITAnnexure-I'!B7</f>
        <v>Jun-2014</v>
      </c>
      <c r="E28" s="167">
        <v>0</v>
      </c>
      <c r="F28" s="171"/>
      <c r="G28" s="956"/>
      <c r="H28" s="956"/>
      <c r="I28" s="161" t="s">
        <v>65</v>
      </c>
      <c r="J28" s="168">
        <v>0</v>
      </c>
      <c r="L28" s="957" t="s">
        <v>569</v>
      </c>
      <c r="M28" s="957"/>
      <c r="N28" s="957"/>
      <c r="O28" s="957"/>
      <c r="P28" s="957"/>
      <c r="Q28" s="957"/>
      <c r="R28" s="957"/>
      <c r="S28" s="957"/>
    </row>
    <row r="29" spans="1:17" ht="22.5" customHeight="1">
      <c r="A29" s="173"/>
      <c r="B29" s="173"/>
      <c r="C29" s="173"/>
      <c r="D29" s="166" t="str">
        <f>'ITAnnexure-I'!B8</f>
        <v>Jul-2014</v>
      </c>
      <c r="E29" s="167">
        <v>0</v>
      </c>
      <c r="F29" s="171"/>
      <c r="G29" s="65"/>
      <c r="H29" s="144"/>
      <c r="I29" s="161" t="s">
        <v>65</v>
      </c>
      <c r="J29" s="168">
        <v>0</v>
      </c>
      <c r="L29" s="65"/>
      <c r="M29" s="65"/>
      <c r="N29" s="174"/>
      <c r="O29" s="174"/>
      <c r="P29" s="124"/>
      <c r="Q29" s="56"/>
    </row>
    <row r="30" spans="1:17" ht="20.25" customHeight="1">
      <c r="A30" s="173"/>
      <c r="B30" s="173"/>
      <c r="C30" s="173"/>
      <c r="D30" s="166" t="str">
        <f>'ITAnnexure-I'!B9</f>
        <v>Aug-2014</v>
      </c>
      <c r="E30" s="167">
        <v>0</v>
      </c>
      <c r="F30" s="171"/>
      <c r="G30" s="65"/>
      <c r="H30" s="65"/>
      <c r="I30" s="161" t="s">
        <v>65</v>
      </c>
      <c r="J30" s="168">
        <v>0</v>
      </c>
      <c r="P30" s="124"/>
      <c r="Q30" s="56"/>
    </row>
    <row r="31" spans="1:17" ht="23.25" customHeight="1">
      <c r="A31" s="173"/>
      <c r="B31" s="173"/>
      <c r="C31" s="173"/>
      <c r="D31" s="175" t="str">
        <f>'ITAnnexure-I'!B10</f>
        <v>Sep-2014</v>
      </c>
      <c r="E31" s="167">
        <v>0</v>
      </c>
      <c r="F31" s="171"/>
      <c r="G31" s="176" t="s">
        <v>130</v>
      </c>
      <c r="H31" s="177"/>
      <c r="I31" s="161" t="s">
        <v>65</v>
      </c>
      <c r="J31" s="168">
        <v>0</v>
      </c>
      <c r="L31" s="178"/>
      <c r="M31" s="178"/>
      <c r="P31" s="958"/>
      <c r="Q31" s="958"/>
    </row>
    <row r="32" spans="1:24" ht="27.75" customHeight="1">
      <c r="A32" s="173"/>
      <c r="B32" s="173"/>
      <c r="C32" s="173"/>
      <c r="D32" s="175" t="str">
        <f>'ITAnnexure-I'!B11</f>
        <v>Oct-2014</v>
      </c>
      <c r="E32" s="167">
        <v>0</v>
      </c>
      <c r="F32" s="171"/>
      <c r="G32" s="179" t="s">
        <v>195</v>
      </c>
      <c r="H32" s="180"/>
      <c r="I32" s="161" t="s">
        <v>65</v>
      </c>
      <c r="J32" s="168">
        <v>0</v>
      </c>
      <c r="P32" s="124"/>
      <c r="Q32" s="124"/>
      <c r="T32" s="56"/>
      <c r="U32" s="959"/>
      <c r="V32" s="959"/>
      <c r="W32" s="181"/>
      <c r="X32" s="124"/>
    </row>
    <row r="33" spans="1:24" ht="18.75" customHeight="1">
      <c r="A33" s="173"/>
      <c r="B33" s="173"/>
      <c r="C33" s="173"/>
      <c r="D33" s="175" t="str">
        <f>'ITAnnexure-I'!B12</f>
        <v>Nov-2014</v>
      </c>
      <c r="E33" s="167">
        <v>0</v>
      </c>
      <c r="F33" s="171"/>
      <c r="G33" s="960" t="s">
        <v>196</v>
      </c>
      <c r="H33" s="960"/>
      <c r="I33" s="961" t="s">
        <v>197</v>
      </c>
      <c r="J33" s="961"/>
      <c r="K33" s="962" t="s">
        <v>198</v>
      </c>
      <c r="L33" s="962"/>
      <c r="M33" s="962"/>
      <c r="N33" s="962"/>
      <c r="O33" s="962"/>
      <c r="P33" s="124"/>
      <c r="Q33" s="124"/>
      <c r="T33" s="182"/>
      <c r="U33" s="963"/>
      <c r="V33" s="963"/>
      <c r="W33" s="183"/>
      <c r="X33" s="124"/>
    </row>
    <row r="34" spans="1:24" ht="22.5" customHeight="1">
      <c r="A34" s="173"/>
      <c r="B34" s="173"/>
      <c r="C34" s="173"/>
      <c r="D34" s="175" t="str">
        <f>'ITAnnexure-I'!B13</f>
        <v>Dec-2014</v>
      </c>
      <c r="E34" s="167">
        <v>0</v>
      </c>
      <c r="F34" s="171"/>
      <c r="G34" s="960"/>
      <c r="H34" s="960"/>
      <c r="I34" s="961"/>
      <c r="J34" s="961"/>
      <c r="K34" s="962"/>
      <c r="L34" s="962"/>
      <c r="M34" s="962"/>
      <c r="N34" s="962"/>
      <c r="O34" s="962"/>
      <c r="P34" s="184"/>
      <c r="Q34" s="184"/>
      <c r="R34" s="184"/>
      <c r="S34" s="124"/>
      <c r="T34" s="185"/>
      <c r="U34" s="963"/>
      <c r="V34" s="963"/>
      <c r="W34" s="183"/>
      <c r="X34" s="124"/>
    </row>
    <row r="35" spans="1:24" ht="32.25" customHeight="1">
      <c r="A35" s="186"/>
      <c r="B35" s="186"/>
      <c r="C35" s="186"/>
      <c r="D35" s="187" t="str">
        <f>'ITAnnexure-I'!B14</f>
        <v>Jan-2015</v>
      </c>
      <c r="E35" s="167">
        <v>0</v>
      </c>
      <c r="F35" s="171"/>
      <c r="G35" s="964" t="s">
        <v>199</v>
      </c>
      <c r="H35" s="964"/>
      <c r="I35" s="141" t="s">
        <v>65</v>
      </c>
      <c r="J35" s="188">
        <v>0</v>
      </c>
      <c r="K35" s="965" t="s">
        <v>931</v>
      </c>
      <c r="L35" s="965"/>
      <c r="M35" s="965"/>
      <c r="N35" s="965"/>
      <c r="O35" s="965"/>
      <c r="P35" s="124"/>
      <c r="Q35" s="966"/>
      <c r="R35" s="966"/>
      <c r="S35" s="966"/>
      <c r="T35" s="966"/>
      <c r="U35" s="963"/>
      <c r="V35" s="963"/>
      <c r="W35" s="183"/>
      <c r="X35" s="124"/>
    </row>
    <row r="36" spans="1:22" ht="23.25" customHeight="1">
      <c r="A36" s="189"/>
      <c r="B36" s="189"/>
      <c r="C36" s="189"/>
      <c r="D36" s="187" t="str">
        <f>'ITAnnexure-I'!B15</f>
        <v>Feb-2015</v>
      </c>
      <c r="E36" s="167">
        <v>0</v>
      </c>
      <c r="F36" s="190"/>
      <c r="G36" s="967" t="s">
        <v>97</v>
      </c>
      <c r="H36" s="967"/>
      <c r="I36" s="191" t="s">
        <v>65</v>
      </c>
      <c r="J36" s="192">
        <v>0</v>
      </c>
      <c r="L36" s="193"/>
      <c r="M36" s="193"/>
      <c r="P36" s="124"/>
      <c r="Q36" s="124"/>
      <c r="R36" s="124"/>
      <c r="S36" s="124"/>
      <c r="T36" s="124"/>
      <c r="U36" s="124"/>
      <c r="V36" s="124"/>
    </row>
    <row r="37" spans="1:22" ht="20.25" customHeight="1">
      <c r="A37" s="194"/>
      <c r="B37" s="194"/>
      <c r="C37" s="194"/>
      <c r="D37" s="194"/>
      <c r="E37" s="194"/>
      <c r="F37" s="195"/>
      <c r="G37" s="968" t="s">
        <v>200</v>
      </c>
      <c r="H37" s="968"/>
      <c r="I37" s="968"/>
      <c r="J37" s="968"/>
      <c r="K37" s="968"/>
      <c r="L37" s="193"/>
      <c r="M37" s="193"/>
      <c r="P37" s="124"/>
      <c r="Q37" s="969"/>
      <c r="R37" s="969"/>
      <c r="S37" s="969"/>
      <c r="T37" s="969"/>
      <c r="U37" s="124"/>
      <c r="V37" s="124"/>
    </row>
    <row r="38" spans="1:22" ht="30.75" customHeight="1">
      <c r="A38" s="970" t="s">
        <v>201</v>
      </c>
      <c r="B38" s="970"/>
      <c r="C38" s="970"/>
      <c r="D38" s="970"/>
      <c r="E38" s="970"/>
      <c r="F38" s="196"/>
      <c r="G38" s="197" t="s">
        <v>202</v>
      </c>
      <c r="H38" s="198" t="s">
        <v>203</v>
      </c>
      <c r="I38" s="971" t="s">
        <v>204</v>
      </c>
      <c r="J38" s="971"/>
      <c r="K38" s="199" t="s">
        <v>205</v>
      </c>
      <c r="L38" s="193"/>
      <c r="M38" s="193"/>
      <c r="P38" s="124"/>
      <c r="Q38" s="124"/>
      <c r="R38" s="124"/>
      <c r="S38" s="124"/>
      <c r="T38" s="124"/>
      <c r="U38" s="124"/>
      <c r="V38" s="124"/>
    </row>
    <row r="39" spans="1:13" ht="27.75" customHeight="1">
      <c r="A39" s="200" t="s">
        <v>206</v>
      </c>
      <c r="B39" s="92"/>
      <c r="C39" s="201" t="s">
        <v>207</v>
      </c>
      <c r="D39" s="202">
        <v>1</v>
      </c>
      <c r="E39" s="203" t="str">
        <f>CONCATENATE("Rs.",'it pro'!AA89)</f>
        <v>Rs.667</v>
      </c>
      <c r="F39" s="196"/>
      <c r="G39" s="204" t="s">
        <v>208</v>
      </c>
      <c r="H39" s="205">
        <v>0</v>
      </c>
      <c r="I39" s="972">
        <v>0</v>
      </c>
      <c r="J39" s="972"/>
      <c r="K39" s="205">
        <v>0</v>
      </c>
      <c r="L39" s="206"/>
      <c r="M39" s="206"/>
    </row>
    <row r="40" spans="1:13" ht="28.5" customHeight="1">
      <c r="A40" s="207" t="s">
        <v>209</v>
      </c>
      <c r="B40" s="208"/>
      <c r="C40" s="209" t="s">
        <v>207</v>
      </c>
      <c r="D40" s="210">
        <v>2</v>
      </c>
      <c r="E40" s="211" t="str">
        <f>CONCATENATE("Rs.",'it pro'!Z89)</f>
        <v>Rs.1417</v>
      </c>
      <c r="F40" s="212"/>
      <c r="G40" s="213" t="s">
        <v>148</v>
      </c>
      <c r="H40" s="214">
        <v>0</v>
      </c>
      <c r="I40" s="973">
        <v>0</v>
      </c>
      <c r="J40" s="973"/>
      <c r="K40" s="214">
        <v>0</v>
      </c>
      <c r="L40" s="193"/>
      <c r="M40" s="193"/>
    </row>
    <row r="41" spans="1:13" ht="21" customHeight="1">
      <c r="A41" s="215"/>
      <c r="B41" s="215"/>
      <c r="C41" s="215"/>
      <c r="D41" s="215"/>
      <c r="E41" s="215"/>
      <c r="F41" s="216"/>
      <c r="G41" s="213" t="s">
        <v>210</v>
      </c>
      <c r="H41" s="214">
        <v>0</v>
      </c>
      <c r="I41" s="973">
        <v>0</v>
      </c>
      <c r="J41" s="973"/>
      <c r="K41" s="214">
        <v>0</v>
      </c>
      <c r="L41" s="193"/>
      <c r="M41" s="193"/>
    </row>
    <row r="42" spans="1:13" ht="24.75" customHeight="1">
      <c r="A42" s="215"/>
      <c r="B42" s="215"/>
      <c r="C42" s="215"/>
      <c r="D42" s="215"/>
      <c r="E42" s="215"/>
      <c r="F42" s="216"/>
      <c r="G42" s="213" t="s">
        <v>211</v>
      </c>
      <c r="H42" s="214">
        <v>0</v>
      </c>
      <c r="I42" s="973">
        <v>0</v>
      </c>
      <c r="J42" s="973"/>
      <c r="K42" s="214">
        <v>0</v>
      </c>
      <c r="L42" s="206"/>
      <c r="M42" s="206"/>
    </row>
    <row r="43" spans="1:11" ht="28.5" customHeight="1">
      <c r="A43" s="215"/>
      <c r="B43" s="215"/>
      <c r="C43" s="215"/>
      <c r="D43" s="215"/>
      <c r="E43" s="215"/>
      <c r="F43" s="217"/>
      <c r="G43" s="213" t="s">
        <v>212</v>
      </c>
      <c r="H43" s="214">
        <v>0</v>
      </c>
      <c r="I43" s="973">
        <v>0</v>
      </c>
      <c r="J43" s="973"/>
      <c r="K43" s="214">
        <v>0</v>
      </c>
    </row>
    <row r="44" spans="1:11" ht="18">
      <c r="A44" s="215"/>
      <c r="B44" s="215"/>
      <c r="C44" s="215"/>
      <c r="D44" s="215"/>
      <c r="E44" s="215"/>
      <c r="F44" s="218"/>
      <c r="G44" s="219" t="s">
        <v>213</v>
      </c>
      <c r="H44" s="220">
        <f>SUM(H39:H43)</f>
        <v>0</v>
      </c>
      <c r="I44" s="974">
        <f>SUM(I39:J43)</f>
        <v>0</v>
      </c>
      <c r="J44" s="974"/>
      <c r="K44" s="220">
        <f>SUM(K39:K43)</f>
        <v>0</v>
      </c>
    </row>
    <row r="45" spans="1:11" s="224" customFormat="1" ht="18">
      <c r="A45" s="221"/>
      <c r="B45" s="222"/>
      <c r="C45" s="222"/>
      <c r="D45" s="221"/>
      <c r="E45" s="221"/>
      <c r="F45" s="223"/>
      <c r="G45" s="213" t="s">
        <v>214</v>
      </c>
      <c r="H45" s="214">
        <v>0</v>
      </c>
      <c r="I45" s="973">
        <v>0</v>
      </c>
      <c r="J45" s="973"/>
      <c r="K45" s="214">
        <v>0</v>
      </c>
    </row>
    <row r="46" spans="2:11" s="224" customFormat="1" ht="18">
      <c r="B46" s="225">
        <f>'it pro'!Q15</f>
        <v>1</v>
      </c>
      <c r="C46" s="226">
        <v>6700</v>
      </c>
      <c r="D46" s="227">
        <f>IF(B46=4,C46,"")</f>
      </c>
      <c r="F46" s="223"/>
      <c r="G46" s="213" t="s">
        <v>215</v>
      </c>
      <c r="H46" s="214">
        <v>0</v>
      </c>
      <c r="I46" s="973">
        <v>0</v>
      </c>
      <c r="J46" s="973"/>
      <c r="K46" s="214">
        <v>0</v>
      </c>
    </row>
    <row r="47" spans="2:11" s="224" customFormat="1" ht="18">
      <c r="B47" s="225">
        <f aca="true" t="shared" si="0" ref="B47:B78">$B$46</f>
        <v>1</v>
      </c>
      <c r="C47" s="226">
        <v>6900</v>
      </c>
      <c r="D47" s="227">
        <f aca="true" t="shared" si="1" ref="D47:D110">IF(B47=4,C47,"")</f>
      </c>
      <c r="F47" s="228"/>
      <c r="G47" s="219" t="s">
        <v>216</v>
      </c>
      <c r="H47" s="220">
        <f>H44-H45-H46</f>
        <v>0</v>
      </c>
      <c r="I47" s="974">
        <f>I44-I45-I46</f>
        <v>0</v>
      </c>
      <c r="J47" s="974"/>
      <c r="K47" s="220">
        <f>K44-K45-K46</f>
        <v>0</v>
      </c>
    </row>
    <row r="48" spans="2:4" s="224" customFormat="1" ht="15">
      <c r="B48" s="225">
        <f t="shared" si="0"/>
        <v>1</v>
      </c>
      <c r="C48" s="226">
        <v>7100</v>
      </c>
      <c r="D48" s="227">
        <f t="shared" si="1"/>
      </c>
    </row>
    <row r="49" spans="2:4" s="224" customFormat="1" ht="15">
      <c r="B49" s="225">
        <f t="shared" si="0"/>
        <v>1</v>
      </c>
      <c r="C49" s="226">
        <v>7300</v>
      </c>
      <c r="D49" s="227">
        <f t="shared" si="1"/>
      </c>
    </row>
    <row r="50" spans="2:4" s="224" customFormat="1" ht="15">
      <c r="B50" s="225">
        <f t="shared" si="0"/>
        <v>1</v>
      </c>
      <c r="C50" s="226">
        <v>7520</v>
      </c>
      <c r="D50" s="227">
        <f t="shared" si="1"/>
      </c>
    </row>
    <row r="51" spans="2:4" s="224" customFormat="1" ht="15">
      <c r="B51" s="225">
        <f t="shared" si="0"/>
        <v>1</v>
      </c>
      <c r="C51" s="226">
        <v>7740</v>
      </c>
      <c r="D51" s="227">
        <f t="shared" si="1"/>
      </c>
    </row>
    <row r="52" spans="2:4" s="224" customFormat="1" ht="15">
      <c r="B52" s="225">
        <f t="shared" si="0"/>
        <v>1</v>
      </c>
      <c r="C52" s="226">
        <v>7960</v>
      </c>
      <c r="D52" s="227">
        <f t="shared" si="1"/>
      </c>
    </row>
    <row r="53" spans="2:4" s="224" customFormat="1" ht="15">
      <c r="B53" s="225">
        <f t="shared" si="0"/>
        <v>1</v>
      </c>
      <c r="C53" s="226">
        <v>8200</v>
      </c>
      <c r="D53" s="227">
        <f t="shared" si="1"/>
      </c>
    </row>
    <row r="54" spans="2:4" s="224" customFormat="1" ht="15">
      <c r="B54" s="225">
        <f t="shared" si="0"/>
        <v>1</v>
      </c>
      <c r="C54" s="226">
        <v>8440</v>
      </c>
      <c r="D54" s="227">
        <f t="shared" si="1"/>
      </c>
    </row>
    <row r="55" spans="2:4" s="224" customFormat="1" ht="15">
      <c r="B55" s="225">
        <f t="shared" si="0"/>
        <v>1</v>
      </c>
      <c r="C55" s="226">
        <v>8680</v>
      </c>
      <c r="D55" s="227">
        <f t="shared" si="1"/>
      </c>
    </row>
    <row r="56" spans="2:4" s="224" customFormat="1" ht="15">
      <c r="B56" s="225">
        <f t="shared" si="0"/>
        <v>1</v>
      </c>
      <c r="C56" s="226">
        <v>8940</v>
      </c>
      <c r="D56" s="227">
        <f t="shared" si="1"/>
      </c>
    </row>
    <row r="57" spans="2:4" s="224" customFormat="1" ht="15">
      <c r="B57" s="225">
        <f t="shared" si="0"/>
        <v>1</v>
      </c>
      <c r="C57" s="226">
        <v>9200</v>
      </c>
      <c r="D57" s="227">
        <f t="shared" si="1"/>
      </c>
    </row>
    <row r="58" spans="2:4" s="224" customFormat="1" ht="15">
      <c r="B58" s="225">
        <f t="shared" si="0"/>
        <v>1</v>
      </c>
      <c r="C58" s="226">
        <v>9460</v>
      </c>
      <c r="D58" s="227">
        <f t="shared" si="1"/>
      </c>
    </row>
    <row r="59" spans="2:4" s="224" customFormat="1" ht="15">
      <c r="B59" s="225">
        <f t="shared" si="0"/>
        <v>1</v>
      </c>
      <c r="C59" s="226">
        <v>9740</v>
      </c>
      <c r="D59" s="227">
        <f t="shared" si="1"/>
      </c>
    </row>
    <row r="60" spans="2:4" s="224" customFormat="1" ht="15">
      <c r="B60" s="225">
        <f t="shared" si="0"/>
        <v>1</v>
      </c>
      <c r="C60" s="226">
        <v>10020</v>
      </c>
      <c r="D60" s="227">
        <f t="shared" si="1"/>
      </c>
    </row>
    <row r="61" spans="2:4" s="224" customFormat="1" ht="15">
      <c r="B61" s="225">
        <f t="shared" si="0"/>
        <v>1</v>
      </c>
      <c r="C61" s="226">
        <v>10300</v>
      </c>
      <c r="D61" s="227">
        <f t="shared" si="1"/>
      </c>
    </row>
    <row r="62" spans="2:4" s="224" customFormat="1" ht="15">
      <c r="B62" s="225">
        <f t="shared" si="0"/>
        <v>1</v>
      </c>
      <c r="C62" s="226">
        <v>10600</v>
      </c>
      <c r="D62" s="227">
        <f t="shared" si="1"/>
      </c>
    </row>
    <row r="63" spans="2:4" s="224" customFormat="1" ht="15">
      <c r="B63" s="225">
        <f t="shared" si="0"/>
        <v>1</v>
      </c>
      <c r="C63" s="226">
        <v>10900</v>
      </c>
      <c r="D63" s="227">
        <f t="shared" si="1"/>
      </c>
    </row>
    <row r="64" spans="2:4" s="224" customFormat="1" ht="15">
      <c r="B64" s="225">
        <f t="shared" si="0"/>
        <v>1</v>
      </c>
      <c r="C64" s="226">
        <v>11200</v>
      </c>
      <c r="D64" s="227">
        <f t="shared" si="1"/>
      </c>
    </row>
    <row r="65" spans="2:4" s="224" customFormat="1" ht="15">
      <c r="B65" s="225">
        <f t="shared" si="0"/>
        <v>1</v>
      </c>
      <c r="C65" s="226">
        <v>11530</v>
      </c>
      <c r="D65" s="227">
        <f t="shared" si="1"/>
      </c>
    </row>
    <row r="66" spans="2:4" s="224" customFormat="1" ht="15">
      <c r="B66" s="225">
        <f t="shared" si="0"/>
        <v>1</v>
      </c>
      <c r="C66" s="226">
        <v>11860</v>
      </c>
      <c r="D66" s="227">
        <f t="shared" si="1"/>
      </c>
    </row>
    <row r="67" spans="2:4" s="224" customFormat="1" ht="15">
      <c r="B67" s="225">
        <f t="shared" si="0"/>
        <v>1</v>
      </c>
      <c r="C67" s="226">
        <v>12190</v>
      </c>
      <c r="D67" s="227">
        <f t="shared" si="1"/>
      </c>
    </row>
    <row r="68" spans="2:4" s="224" customFormat="1" ht="15">
      <c r="B68" s="225">
        <f t="shared" si="0"/>
        <v>1</v>
      </c>
      <c r="C68" s="226">
        <v>12550</v>
      </c>
      <c r="D68" s="227">
        <f t="shared" si="1"/>
      </c>
    </row>
    <row r="69" spans="2:4" s="224" customFormat="1" ht="15">
      <c r="B69" s="225">
        <f t="shared" si="0"/>
        <v>1</v>
      </c>
      <c r="C69" s="226">
        <v>12910</v>
      </c>
      <c r="D69" s="227">
        <f t="shared" si="1"/>
      </c>
    </row>
    <row r="70" spans="2:4" s="224" customFormat="1" ht="15">
      <c r="B70" s="225">
        <f t="shared" si="0"/>
        <v>1</v>
      </c>
      <c r="C70" s="226">
        <v>13270</v>
      </c>
      <c r="D70" s="227">
        <f t="shared" si="1"/>
      </c>
    </row>
    <row r="71" spans="2:4" s="224" customFormat="1" ht="15">
      <c r="B71" s="225">
        <f t="shared" si="0"/>
        <v>1</v>
      </c>
      <c r="C71" s="226">
        <v>13660</v>
      </c>
      <c r="D71" s="227">
        <f t="shared" si="1"/>
      </c>
    </row>
    <row r="72" spans="2:4" s="224" customFormat="1" ht="15">
      <c r="B72" s="225">
        <f t="shared" si="0"/>
        <v>1</v>
      </c>
      <c r="C72" s="226">
        <v>14050</v>
      </c>
      <c r="D72" s="227">
        <f t="shared" si="1"/>
      </c>
    </row>
    <row r="73" spans="2:4" s="224" customFormat="1" ht="15">
      <c r="B73" s="225">
        <f t="shared" si="0"/>
        <v>1</v>
      </c>
      <c r="C73" s="226">
        <v>14440</v>
      </c>
      <c r="D73" s="227">
        <f t="shared" si="1"/>
      </c>
    </row>
    <row r="74" spans="2:4" s="224" customFormat="1" ht="15">
      <c r="B74" s="225">
        <f t="shared" si="0"/>
        <v>1</v>
      </c>
      <c r="C74" s="226">
        <v>14860</v>
      </c>
      <c r="D74" s="227">
        <f t="shared" si="1"/>
      </c>
    </row>
    <row r="75" spans="2:4" s="224" customFormat="1" ht="15">
      <c r="B75" s="225">
        <f t="shared" si="0"/>
        <v>1</v>
      </c>
      <c r="C75" s="226">
        <v>15280</v>
      </c>
      <c r="D75" s="227">
        <f t="shared" si="1"/>
      </c>
    </row>
    <row r="76" spans="2:4" s="224" customFormat="1" ht="15">
      <c r="B76" s="225">
        <f t="shared" si="0"/>
        <v>1</v>
      </c>
      <c r="C76" s="226">
        <v>15700</v>
      </c>
      <c r="D76" s="227">
        <f t="shared" si="1"/>
      </c>
    </row>
    <row r="77" spans="2:4" s="224" customFormat="1" ht="15">
      <c r="B77" s="225">
        <f t="shared" si="0"/>
        <v>1</v>
      </c>
      <c r="C77" s="226">
        <v>16150</v>
      </c>
      <c r="D77" s="227">
        <f t="shared" si="1"/>
      </c>
    </row>
    <row r="78" spans="2:4" s="224" customFormat="1" ht="15">
      <c r="B78" s="225">
        <f t="shared" si="0"/>
        <v>1</v>
      </c>
      <c r="C78" s="226">
        <v>16600</v>
      </c>
      <c r="D78" s="227">
        <f t="shared" si="1"/>
      </c>
    </row>
    <row r="79" spans="2:4" s="224" customFormat="1" ht="15">
      <c r="B79" s="225">
        <f aca="true" t="shared" si="2" ref="B79:B110">$B$46</f>
        <v>1</v>
      </c>
      <c r="C79" s="226">
        <v>17050</v>
      </c>
      <c r="D79" s="227">
        <f t="shared" si="1"/>
      </c>
    </row>
    <row r="80" spans="2:4" s="224" customFormat="1" ht="15">
      <c r="B80" s="225">
        <f t="shared" si="2"/>
        <v>1</v>
      </c>
      <c r="C80" s="226">
        <v>17540</v>
      </c>
      <c r="D80" s="227">
        <f t="shared" si="1"/>
      </c>
    </row>
    <row r="81" spans="2:4" s="224" customFormat="1" ht="15">
      <c r="B81" s="225">
        <f t="shared" si="2"/>
        <v>1</v>
      </c>
      <c r="C81" s="226">
        <v>18030</v>
      </c>
      <c r="D81" s="227">
        <f t="shared" si="1"/>
      </c>
    </row>
    <row r="82" spans="2:4" s="224" customFormat="1" ht="15">
      <c r="B82" s="225">
        <f t="shared" si="2"/>
        <v>1</v>
      </c>
      <c r="C82" s="226">
        <v>18520</v>
      </c>
      <c r="D82" s="227">
        <f t="shared" si="1"/>
      </c>
    </row>
    <row r="83" spans="2:4" s="224" customFormat="1" ht="15">
      <c r="B83" s="225">
        <f t="shared" si="2"/>
        <v>1</v>
      </c>
      <c r="C83" s="226">
        <v>19050</v>
      </c>
      <c r="D83" s="227">
        <f t="shared" si="1"/>
      </c>
    </row>
    <row r="84" spans="2:4" s="224" customFormat="1" ht="15">
      <c r="B84" s="225">
        <f t="shared" si="2"/>
        <v>1</v>
      </c>
      <c r="C84" s="226">
        <v>19580</v>
      </c>
      <c r="D84" s="227">
        <f t="shared" si="1"/>
      </c>
    </row>
    <row r="85" spans="2:4" s="224" customFormat="1" ht="15">
      <c r="B85" s="225">
        <f t="shared" si="2"/>
        <v>1</v>
      </c>
      <c r="C85" s="226">
        <v>20110</v>
      </c>
      <c r="D85" s="227">
        <f t="shared" si="1"/>
      </c>
    </row>
    <row r="86" spans="2:4" s="224" customFormat="1" ht="15">
      <c r="B86" s="225">
        <f t="shared" si="2"/>
        <v>1</v>
      </c>
      <c r="C86" s="226">
        <v>20680</v>
      </c>
      <c r="D86" s="227">
        <f t="shared" si="1"/>
      </c>
    </row>
    <row r="87" spans="2:4" s="224" customFormat="1" ht="15">
      <c r="B87" s="225">
        <f t="shared" si="2"/>
        <v>1</v>
      </c>
      <c r="C87" s="226">
        <v>21250</v>
      </c>
      <c r="D87" s="227">
        <f t="shared" si="1"/>
      </c>
    </row>
    <row r="88" spans="2:4" s="224" customFormat="1" ht="15">
      <c r="B88" s="225">
        <f t="shared" si="2"/>
        <v>1</v>
      </c>
      <c r="C88" s="226">
        <v>21820</v>
      </c>
      <c r="D88" s="227">
        <f t="shared" si="1"/>
      </c>
    </row>
    <row r="89" spans="2:4" s="224" customFormat="1" ht="15">
      <c r="B89" s="225">
        <f t="shared" si="2"/>
        <v>1</v>
      </c>
      <c r="C89" s="226">
        <v>22430</v>
      </c>
      <c r="D89" s="227">
        <f t="shared" si="1"/>
      </c>
    </row>
    <row r="90" spans="2:4" s="224" customFormat="1" ht="15">
      <c r="B90" s="225">
        <f t="shared" si="2"/>
        <v>1</v>
      </c>
      <c r="C90" s="226">
        <v>23040</v>
      </c>
      <c r="D90" s="227">
        <f t="shared" si="1"/>
      </c>
    </row>
    <row r="91" spans="2:4" s="224" customFormat="1" ht="15">
      <c r="B91" s="225">
        <f t="shared" si="2"/>
        <v>1</v>
      </c>
      <c r="C91" s="226">
        <v>23650</v>
      </c>
      <c r="D91" s="227">
        <f t="shared" si="1"/>
      </c>
    </row>
    <row r="92" spans="2:4" s="224" customFormat="1" ht="15">
      <c r="B92" s="225">
        <f t="shared" si="2"/>
        <v>1</v>
      </c>
      <c r="C92" s="226">
        <v>24300</v>
      </c>
      <c r="D92" s="227">
        <f t="shared" si="1"/>
      </c>
    </row>
    <row r="93" spans="2:4" s="224" customFormat="1" ht="15">
      <c r="B93" s="225">
        <f t="shared" si="2"/>
        <v>1</v>
      </c>
      <c r="C93" s="226">
        <v>24950</v>
      </c>
      <c r="D93" s="227">
        <f t="shared" si="1"/>
      </c>
    </row>
    <row r="94" spans="2:4" s="224" customFormat="1" ht="15">
      <c r="B94" s="225">
        <f t="shared" si="2"/>
        <v>1</v>
      </c>
      <c r="C94" s="226">
        <v>25600</v>
      </c>
      <c r="D94" s="227">
        <f t="shared" si="1"/>
      </c>
    </row>
    <row r="95" spans="2:4" s="224" customFormat="1" ht="15">
      <c r="B95" s="225">
        <f t="shared" si="2"/>
        <v>1</v>
      </c>
      <c r="C95" s="226">
        <v>26300</v>
      </c>
      <c r="D95" s="227">
        <f t="shared" si="1"/>
      </c>
    </row>
    <row r="96" spans="2:4" s="224" customFormat="1" ht="15">
      <c r="B96" s="225">
        <f t="shared" si="2"/>
        <v>1</v>
      </c>
      <c r="C96" s="226">
        <v>27000</v>
      </c>
      <c r="D96" s="227">
        <f t="shared" si="1"/>
      </c>
    </row>
    <row r="97" spans="2:4" s="224" customFormat="1" ht="15">
      <c r="B97" s="225">
        <f t="shared" si="2"/>
        <v>1</v>
      </c>
      <c r="C97" s="226">
        <v>27700</v>
      </c>
      <c r="D97" s="227">
        <f t="shared" si="1"/>
      </c>
    </row>
    <row r="98" spans="2:4" s="224" customFormat="1" ht="15">
      <c r="B98" s="225">
        <f t="shared" si="2"/>
        <v>1</v>
      </c>
      <c r="C98" s="226">
        <v>28450</v>
      </c>
      <c r="D98" s="227">
        <f t="shared" si="1"/>
      </c>
    </row>
    <row r="99" spans="2:4" s="224" customFormat="1" ht="15">
      <c r="B99" s="225">
        <f t="shared" si="2"/>
        <v>1</v>
      </c>
      <c r="C99" s="226">
        <v>29200</v>
      </c>
      <c r="D99" s="227">
        <f t="shared" si="1"/>
      </c>
    </row>
    <row r="100" spans="2:4" s="224" customFormat="1" ht="15">
      <c r="B100" s="225">
        <f t="shared" si="2"/>
        <v>1</v>
      </c>
      <c r="C100" s="226">
        <v>29950</v>
      </c>
      <c r="D100" s="227">
        <f t="shared" si="1"/>
      </c>
    </row>
    <row r="101" spans="2:4" s="224" customFormat="1" ht="15">
      <c r="B101" s="225">
        <f t="shared" si="2"/>
        <v>1</v>
      </c>
      <c r="C101" s="226">
        <v>30750</v>
      </c>
      <c r="D101" s="227">
        <f t="shared" si="1"/>
      </c>
    </row>
    <row r="102" spans="2:4" s="224" customFormat="1" ht="15">
      <c r="B102" s="225">
        <f t="shared" si="2"/>
        <v>1</v>
      </c>
      <c r="C102" s="226">
        <v>31550</v>
      </c>
      <c r="D102" s="227">
        <f t="shared" si="1"/>
      </c>
    </row>
    <row r="103" spans="2:4" s="224" customFormat="1" ht="15">
      <c r="B103" s="225">
        <f t="shared" si="2"/>
        <v>1</v>
      </c>
      <c r="C103" s="226">
        <v>32350</v>
      </c>
      <c r="D103" s="227">
        <f t="shared" si="1"/>
      </c>
    </row>
    <row r="104" spans="2:4" s="224" customFormat="1" ht="15">
      <c r="B104" s="225">
        <f t="shared" si="2"/>
        <v>1</v>
      </c>
      <c r="C104" s="226">
        <v>33200</v>
      </c>
      <c r="D104" s="227">
        <f t="shared" si="1"/>
      </c>
    </row>
    <row r="105" spans="2:4" s="224" customFormat="1" ht="15">
      <c r="B105" s="225">
        <f t="shared" si="2"/>
        <v>1</v>
      </c>
      <c r="C105" s="226">
        <v>34050</v>
      </c>
      <c r="D105" s="227">
        <f t="shared" si="1"/>
      </c>
    </row>
    <row r="106" spans="2:4" s="224" customFormat="1" ht="15">
      <c r="B106" s="225">
        <f t="shared" si="2"/>
        <v>1</v>
      </c>
      <c r="C106" s="226">
        <v>34900</v>
      </c>
      <c r="D106" s="227">
        <f t="shared" si="1"/>
      </c>
    </row>
    <row r="107" spans="2:4" s="224" customFormat="1" ht="15">
      <c r="B107" s="225">
        <f t="shared" si="2"/>
        <v>1</v>
      </c>
      <c r="C107" s="226">
        <v>35800</v>
      </c>
      <c r="D107" s="227">
        <f t="shared" si="1"/>
      </c>
    </row>
    <row r="108" spans="2:4" s="224" customFormat="1" ht="15">
      <c r="B108" s="225">
        <f t="shared" si="2"/>
        <v>1</v>
      </c>
      <c r="C108" s="226">
        <v>36700</v>
      </c>
      <c r="D108" s="227">
        <f t="shared" si="1"/>
      </c>
    </row>
    <row r="109" spans="2:4" s="224" customFormat="1" ht="15">
      <c r="B109" s="225">
        <f t="shared" si="2"/>
        <v>1</v>
      </c>
      <c r="C109" s="226">
        <v>37600</v>
      </c>
      <c r="D109" s="227">
        <f t="shared" si="1"/>
      </c>
    </row>
    <row r="110" spans="2:4" s="224" customFormat="1" ht="15">
      <c r="B110" s="225">
        <f t="shared" si="2"/>
        <v>1</v>
      </c>
      <c r="C110" s="226">
        <v>38570</v>
      </c>
      <c r="D110" s="227">
        <f t="shared" si="1"/>
      </c>
    </row>
    <row r="111" spans="2:4" s="224" customFormat="1" ht="15">
      <c r="B111" s="225">
        <f aca="true" t="shared" si="3" ref="B111:B128">$B$46</f>
        <v>1</v>
      </c>
      <c r="C111" s="226">
        <v>39540</v>
      </c>
      <c r="D111" s="227">
        <f aca="true" t="shared" si="4" ref="D111:D128">IF(B111=4,C111,"")</f>
      </c>
    </row>
    <row r="112" spans="2:4" s="224" customFormat="1" ht="15">
      <c r="B112" s="225">
        <f t="shared" si="3"/>
        <v>1</v>
      </c>
      <c r="C112" s="226">
        <v>40510</v>
      </c>
      <c r="D112" s="227">
        <f t="shared" si="4"/>
      </c>
    </row>
    <row r="113" spans="2:4" s="224" customFormat="1" ht="15">
      <c r="B113" s="225">
        <f t="shared" si="3"/>
        <v>1</v>
      </c>
      <c r="C113" s="226">
        <v>41550</v>
      </c>
      <c r="D113" s="227">
        <f t="shared" si="4"/>
      </c>
    </row>
    <row r="114" spans="2:4" s="224" customFormat="1" ht="15">
      <c r="B114" s="225">
        <f t="shared" si="3"/>
        <v>1</v>
      </c>
      <c r="C114" s="226">
        <v>42590</v>
      </c>
      <c r="D114" s="227">
        <f t="shared" si="4"/>
      </c>
    </row>
    <row r="115" spans="2:4" s="224" customFormat="1" ht="15">
      <c r="B115" s="225">
        <f t="shared" si="3"/>
        <v>1</v>
      </c>
      <c r="C115" s="226">
        <v>43630</v>
      </c>
      <c r="D115" s="227">
        <f t="shared" si="4"/>
      </c>
    </row>
    <row r="116" spans="2:4" s="224" customFormat="1" ht="15">
      <c r="B116" s="225">
        <f t="shared" si="3"/>
        <v>1</v>
      </c>
      <c r="C116" s="226">
        <v>44740</v>
      </c>
      <c r="D116" s="227">
        <f t="shared" si="4"/>
      </c>
    </row>
    <row r="117" spans="2:4" s="224" customFormat="1" ht="15">
      <c r="B117" s="225">
        <f t="shared" si="3"/>
        <v>1</v>
      </c>
      <c r="C117" s="226">
        <v>45850</v>
      </c>
      <c r="D117" s="227">
        <f t="shared" si="4"/>
      </c>
    </row>
    <row r="118" spans="2:4" s="224" customFormat="1" ht="15">
      <c r="B118" s="225">
        <f t="shared" si="3"/>
        <v>1</v>
      </c>
      <c r="C118" s="226">
        <v>46960</v>
      </c>
      <c r="D118" s="227">
        <f t="shared" si="4"/>
      </c>
    </row>
    <row r="119" spans="2:4" s="224" customFormat="1" ht="15">
      <c r="B119" s="225">
        <f t="shared" si="3"/>
        <v>1</v>
      </c>
      <c r="C119" s="226">
        <v>48160</v>
      </c>
      <c r="D119" s="227">
        <f t="shared" si="4"/>
      </c>
    </row>
    <row r="120" spans="2:4" s="224" customFormat="1" ht="15">
      <c r="B120" s="225">
        <f t="shared" si="3"/>
        <v>1</v>
      </c>
      <c r="C120" s="226">
        <v>49360</v>
      </c>
      <c r="D120" s="227">
        <f t="shared" si="4"/>
      </c>
    </row>
    <row r="121" spans="2:4" s="224" customFormat="1" ht="15">
      <c r="B121" s="225">
        <f t="shared" si="3"/>
        <v>1</v>
      </c>
      <c r="C121" s="226">
        <v>50560</v>
      </c>
      <c r="D121" s="227">
        <f t="shared" si="4"/>
      </c>
    </row>
    <row r="122" spans="2:4" s="224" customFormat="1" ht="15">
      <c r="B122" s="225">
        <f t="shared" si="3"/>
        <v>1</v>
      </c>
      <c r="C122" s="226">
        <v>51760</v>
      </c>
      <c r="D122" s="227">
        <f t="shared" si="4"/>
      </c>
    </row>
    <row r="123" spans="2:4" s="224" customFormat="1" ht="15">
      <c r="B123" s="225">
        <f t="shared" si="3"/>
        <v>1</v>
      </c>
      <c r="C123" s="226">
        <v>53060</v>
      </c>
      <c r="D123" s="227">
        <f t="shared" si="4"/>
      </c>
    </row>
    <row r="124" spans="2:4" s="224" customFormat="1" ht="15">
      <c r="B124" s="225">
        <f t="shared" si="3"/>
        <v>1</v>
      </c>
      <c r="C124" s="226">
        <v>54360</v>
      </c>
      <c r="D124" s="227">
        <f t="shared" si="4"/>
      </c>
    </row>
    <row r="125" spans="2:4" s="224" customFormat="1" ht="15">
      <c r="B125" s="225">
        <f t="shared" si="3"/>
        <v>1</v>
      </c>
      <c r="C125" s="226">
        <v>55660</v>
      </c>
      <c r="D125" s="227">
        <f t="shared" si="4"/>
      </c>
    </row>
    <row r="126" spans="2:4" s="224" customFormat="1" ht="15">
      <c r="B126" s="225">
        <f t="shared" si="3"/>
        <v>1</v>
      </c>
      <c r="C126" s="226">
        <v>56960</v>
      </c>
      <c r="D126" s="227">
        <f t="shared" si="4"/>
      </c>
    </row>
    <row r="127" spans="2:4" s="224" customFormat="1" ht="15">
      <c r="B127" s="225">
        <f t="shared" si="3"/>
        <v>1</v>
      </c>
      <c r="C127" s="226">
        <v>58260</v>
      </c>
      <c r="D127" s="227">
        <f t="shared" si="4"/>
      </c>
    </row>
    <row r="128" spans="2:4" s="224" customFormat="1" ht="15">
      <c r="B128" s="225">
        <f t="shared" si="3"/>
        <v>1</v>
      </c>
      <c r="C128" s="226">
        <v>59560</v>
      </c>
      <c r="D128" s="227">
        <f t="shared" si="4"/>
      </c>
    </row>
    <row r="129" s="224" customFormat="1" ht="15"/>
    <row r="130" s="224" customFormat="1" ht="15"/>
    <row r="131" s="224" customFormat="1" ht="15"/>
    <row r="132" s="224" customFormat="1" ht="15"/>
    <row r="133" s="224" customFormat="1" ht="15"/>
    <row r="134" s="224" customFormat="1" ht="15"/>
    <row r="135" s="224" customFormat="1" ht="15"/>
    <row r="136" s="224" customFormat="1" ht="15"/>
    <row r="137" s="224" customFormat="1" ht="15"/>
    <row r="138" s="224" customFormat="1" ht="15"/>
    <row r="139" s="224" customFormat="1" ht="15"/>
    <row r="140" s="224" customFormat="1" ht="15"/>
    <row r="141" s="224" customFormat="1" ht="15"/>
    <row r="142" spans="1:5" ht="15">
      <c r="A142" s="215"/>
      <c r="B142" s="215"/>
      <c r="C142" s="215"/>
      <c r="D142" s="215"/>
      <c r="E142" s="215"/>
    </row>
    <row r="143" spans="1:5" ht="15">
      <c r="A143" s="215"/>
      <c r="B143" s="215"/>
      <c r="C143" s="215"/>
      <c r="D143" s="215"/>
      <c r="E143" s="215"/>
    </row>
    <row r="144" spans="1:5" ht="15">
      <c r="A144" s="215"/>
      <c r="B144" s="215"/>
      <c r="C144" s="215"/>
      <c r="D144" s="215"/>
      <c r="E144" s="215"/>
    </row>
    <row r="145" spans="1:5" ht="15">
      <c r="A145" s="215"/>
      <c r="B145" s="215"/>
      <c r="C145" s="215"/>
      <c r="D145" s="215"/>
      <c r="E145" s="215"/>
    </row>
    <row r="146" spans="1:5" ht="15">
      <c r="A146" s="215"/>
      <c r="B146" s="215"/>
      <c r="C146" s="215"/>
      <c r="D146" s="215"/>
      <c r="E146" s="215"/>
    </row>
    <row r="147" spans="1:5" ht="15">
      <c r="A147" s="215"/>
      <c r="B147" s="215"/>
      <c r="C147" s="215"/>
      <c r="D147" s="215"/>
      <c r="E147" s="215"/>
    </row>
    <row r="148" spans="1:5" ht="15">
      <c r="A148" s="215"/>
      <c r="B148" s="215"/>
      <c r="C148" s="215"/>
      <c r="D148" s="215"/>
      <c r="E148" s="215"/>
    </row>
    <row r="149" spans="1:5" ht="15">
      <c r="A149" s="215"/>
      <c r="B149" s="215"/>
      <c r="C149" s="215"/>
      <c r="D149" s="215"/>
      <c r="E149" s="215"/>
    </row>
    <row r="150" spans="1:5" ht="15">
      <c r="A150" s="215"/>
      <c r="B150" s="215"/>
      <c r="C150" s="215"/>
      <c r="D150" s="215"/>
      <c r="E150" s="215"/>
    </row>
    <row r="151" spans="1:5" ht="15">
      <c r="A151" s="215"/>
      <c r="B151" s="215"/>
      <c r="C151" s="215"/>
      <c r="D151" s="215"/>
      <c r="E151" s="215"/>
    </row>
    <row r="152" spans="1:5" ht="15">
      <c r="A152" s="215"/>
      <c r="B152" s="215"/>
      <c r="C152" s="215"/>
      <c r="D152" s="215"/>
      <c r="E152" s="215"/>
    </row>
    <row r="153" spans="1:5" ht="15">
      <c r="A153" s="215"/>
      <c r="B153" s="215"/>
      <c r="C153" s="215"/>
      <c r="D153" s="215"/>
      <c r="E153" s="215"/>
    </row>
    <row r="154" spans="1:5" ht="15">
      <c r="A154" s="215"/>
      <c r="B154" s="215"/>
      <c r="C154" s="215"/>
      <c r="D154" s="215"/>
      <c r="E154" s="215"/>
    </row>
    <row r="155" spans="1:5" ht="15">
      <c r="A155" s="215"/>
      <c r="B155" s="215"/>
      <c r="C155" s="215"/>
      <c r="D155" s="215"/>
      <c r="E155" s="215"/>
    </row>
    <row r="156" spans="1:5" ht="15">
      <c r="A156" s="215"/>
      <c r="B156" s="215"/>
      <c r="C156" s="215"/>
      <c r="D156" s="215"/>
      <c r="E156" s="215"/>
    </row>
    <row r="157" spans="1:5" ht="15">
      <c r="A157" s="215"/>
      <c r="B157" s="215"/>
      <c r="C157" s="215"/>
      <c r="D157" s="215"/>
      <c r="E157" s="215"/>
    </row>
    <row r="158" spans="1:5" ht="15">
      <c r="A158" s="215"/>
      <c r="B158" s="215"/>
      <c r="C158" s="215"/>
      <c r="D158" s="215"/>
      <c r="E158" s="215"/>
    </row>
    <row r="159" spans="1:5" ht="15">
      <c r="A159" s="215"/>
      <c r="B159" s="215"/>
      <c r="C159" s="215"/>
      <c r="D159" s="215"/>
      <c r="E159" s="215"/>
    </row>
    <row r="160" spans="1:5" ht="15">
      <c r="A160" s="215"/>
      <c r="B160" s="215"/>
      <c r="C160" s="215"/>
      <c r="D160" s="215"/>
      <c r="E160" s="215"/>
    </row>
    <row r="161" spans="1:5" ht="15">
      <c r="A161" s="215"/>
      <c r="B161" s="215"/>
      <c r="C161" s="215"/>
      <c r="D161" s="215"/>
      <c r="E161" s="215"/>
    </row>
    <row r="162" spans="1:5" ht="15">
      <c r="A162" s="215"/>
      <c r="B162" s="215"/>
      <c r="C162" s="215"/>
      <c r="D162" s="215"/>
      <c r="E162" s="215"/>
    </row>
    <row r="163" spans="1:5" ht="15">
      <c r="A163" s="215"/>
      <c r="B163" s="215"/>
      <c r="C163" s="215"/>
      <c r="D163" s="215"/>
      <c r="E163" s="215"/>
    </row>
    <row r="164" spans="1:5" ht="15">
      <c r="A164" s="215"/>
      <c r="B164" s="215"/>
      <c r="C164" s="215"/>
      <c r="D164" s="215"/>
      <c r="E164" s="215"/>
    </row>
    <row r="165" spans="1:5" ht="15">
      <c r="A165" s="215"/>
      <c r="B165" s="215"/>
      <c r="C165" s="215"/>
      <c r="D165" s="215"/>
      <c r="E165" s="215"/>
    </row>
    <row r="166" spans="1:5" ht="15">
      <c r="A166" s="215"/>
      <c r="B166" s="215"/>
      <c r="C166" s="215"/>
      <c r="D166" s="215"/>
      <c r="E166" s="215"/>
    </row>
    <row r="167" spans="1:5" ht="15">
      <c r="A167" s="215"/>
      <c r="B167" s="215"/>
      <c r="C167" s="215"/>
      <c r="D167" s="215"/>
      <c r="E167" s="215"/>
    </row>
    <row r="168" spans="1:5" ht="15">
      <c r="A168" s="215"/>
      <c r="B168" s="215"/>
      <c r="C168" s="215"/>
      <c r="D168" s="215"/>
      <c r="E168" s="215"/>
    </row>
    <row r="169" spans="1:5" ht="15">
      <c r="A169" s="215"/>
      <c r="B169" s="215"/>
      <c r="C169" s="215"/>
      <c r="D169" s="215"/>
      <c r="E169" s="215"/>
    </row>
    <row r="170" spans="1:5" ht="15">
      <c r="A170" s="215"/>
      <c r="B170" s="215"/>
      <c r="C170" s="215"/>
      <c r="D170" s="215"/>
      <c r="E170" s="215"/>
    </row>
    <row r="171" spans="1:5" ht="15">
      <c r="A171" s="215"/>
      <c r="B171" s="215"/>
      <c r="C171" s="215"/>
      <c r="D171" s="215"/>
      <c r="E171" s="215"/>
    </row>
    <row r="172" spans="1:5" ht="15">
      <c r="A172" s="215"/>
      <c r="B172" s="215"/>
      <c r="C172" s="215"/>
      <c r="D172" s="215"/>
      <c r="E172" s="215"/>
    </row>
    <row r="173" spans="1:5" ht="15">
      <c r="A173" s="215"/>
      <c r="B173" s="215"/>
      <c r="C173" s="215"/>
      <c r="D173" s="215"/>
      <c r="E173" s="215"/>
    </row>
    <row r="174" spans="1:5" ht="15">
      <c r="A174" s="215"/>
      <c r="B174" s="215"/>
      <c r="C174" s="215"/>
      <c r="D174" s="215"/>
      <c r="E174" s="215"/>
    </row>
    <row r="175" spans="1:5" ht="15">
      <c r="A175" s="215"/>
      <c r="B175" s="215"/>
      <c r="C175" s="215"/>
      <c r="D175" s="215"/>
      <c r="E175" s="215"/>
    </row>
    <row r="176" spans="1:5" ht="15">
      <c r="A176" s="215"/>
      <c r="B176" s="215"/>
      <c r="C176" s="215"/>
      <c r="D176" s="215"/>
      <c r="E176" s="215"/>
    </row>
    <row r="177" spans="1:5" ht="15">
      <c r="A177" s="215"/>
      <c r="B177" s="215"/>
      <c r="C177" s="215"/>
      <c r="D177" s="215"/>
      <c r="E177" s="215"/>
    </row>
    <row r="178" spans="1:5" ht="15">
      <c r="A178" s="215"/>
      <c r="B178" s="215"/>
      <c r="C178" s="215"/>
      <c r="D178" s="215"/>
      <c r="E178" s="215"/>
    </row>
    <row r="179" spans="1:5" ht="15">
      <c r="A179" s="215"/>
      <c r="B179" s="215"/>
      <c r="C179" s="215"/>
      <c r="D179" s="215"/>
      <c r="E179" s="215"/>
    </row>
    <row r="180" spans="1:5" ht="15">
      <c r="A180" s="215"/>
      <c r="B180" s="215"/>
      <c r="C180" s="215"/>
      <c r="D180" s="215"/>
      <c r="E180" s="215"/>
    </row>
    <row r="181" spans="1:5" ht="15">
      <c r="A181" s="215"/>
      <c r="B181" s="215"/>
      <c r="C181" s="215"/>
      <c r="D181" s="215"/>
      <c r="E181" s="215"/>
    </row>
    <row r="182" spans="1:5" ht="15">
      <c r="A182" s="215"/>
      <c r="B182" s="215"/>
      <c r="C182" s="215"/>
      <c r="D182" s="215"/>
      <c r="E182" s="215"/>
    </row>
    <row r="183" spans="1:5" ht="15">
      <c r="A183" s="215"/>
      <c r="B183" s="215"/>
      <c r="C183" s="215"/>
      <c r="D183" s="215"/>
      <c r="E183" s="215"/>
    </row>
    <row r="184" spans="1:5" ht="15">
      <c r="A184" s="215"/>
      <c r="B184" s="215"/>
      <c r="C184" s="215"/>
      <c r="D184" s="215"/>
      <c r="E184" s="215"/>
    </row>
    <row r="185" spans="1:5" ht="15">
      <c r="A185" s="215"/>
      <c r="B185" s="215"/>
      <c r="C185" s="215"/>
      <c r="D185" s="215"/>
      <c r="E185" s="215"/>
    </row>
    <row r="186" spans="1:5" ht="15">
      <c r="A186" s="215"/>
      <c r="B186" s="215"/>
      <c r="C186" s="215"/>
      <c r="D186" s="215"/>
      <c r="E186" s="215"/>
    </row>
    <row r="187" spans="1:5" ht="15">
      <c r="A187" s="215"/>
      <c r="B187" s="215"/>
      <c r="C187" s="215"/>
      <c r="D187" s="215"/>
      <c r="E187" s="215"/>
    </row>
    <row r="188" spans="1:5" ht="15">
      <c r="A188" s="215"/>
      <c r="B188" s="215"/>
      <c r="C188" s="215"/>
      <c r="D188" s="215"/>
      <c r="E188" s="215"/>
    </row>
    <row r="189" spans="1:5" ht="15">
      <c r="A189" s="215"/>
      <c r="B189" s="215"/>
      <c r="C189" s="215"/>
      <c r="D189" s="215"/>
      <c r="E189" s="215"/>
    </row>
    <row r="190" spans="1:5" ht="15">
      <c r="A190" s="215"/>
      <c r="B190" s="215"/>
      <c r="C190" s="215"/>
      <c r="D190" s="215"/>
      <c r="E190" s="215"/>
    </row>
    <row r="191" spans="1:5" ht="15">
      <c r="A191" s="215"/>
      <c r="B191" s="215"/>
      <c r="C191" s="215"/>
      <c r="D191" s="215"/>
      <c r="E191" s="215"/>
    </row>
    <row r="192" spans="1:5" ht="15">
      <c r="A192" s="215"/>
      <c r="B192" s="215"/>
      <c r="C192" s="215"/>
      <c r="D192" s="215"/>
      <c r="E192" s="215"/>
    </row>
    <row r="193" spans="1:5" ht="15">
      <c r="A193" s="215"/>
      <c r="B193" s="215"/>
      <c r="C193" s="215"/>
      <c r="D193" s="215"/>
      <c r="E193" s="215"/>
    </row>
    <row r="194" spans="1:5" ht="15">
      <c r="A194" s="215"/>
      <c r="B194" s="215"/>
      <c r="C194" s="215"/>
      <c r="D194" s="215"/>
      <c r="E194" s="215"/>
    </row>
    <row r="195" spans="1:5" ht="15">
      <c r="A195" s="215"/>
      <c r="B195" s="215"/>
      <c r="C195" s="215"/>
      <c r="D195" s="215"/>
      <c r="E195" s="215"/>
    </row>
    <row r="196" spans="1:5" ht="15">
      <c r="A196" s="215"/>
      <c r="B196" s="215"/>
      <c r="C196" s="215"/>
      <c r="D196" s="215"/>
      <c r="E196" s="215"/>
    </row>
    <row r="197" spans="1:5" ht="15">
      <c r="A197" s="215"/>
      <c r="B197" s="215"/>
      <c r="C197" s="215"/>
      <c r="D197" s="215"/>
      <c r="E197" s="215"/>
    </row>
    <row r="198" spans="1:5" ht="15">
      <c r="A198" s="215"/>
      <c r="B198" s="215"/>
      <c r="C198" s="215"/>
      <c r="D198" s="215"/>
      <c r="E198" s="215"/>
    </row>
    <row r="199" spans="1:5" ht="15">
      <c r="A199" s="215"/>
      <c r="B199" s="215"/>
      <c r="C199" s="215"/>
      <c r="D199" s="215"/>
      <c r="E199" s="215"/>
    </row>
    <row r="200" spans="1:5" ht="15">
      <c r="A200" s="215"/>
      <c r="B200" s="215"/>
      <c r="C200" s="215"/>
      <c r="D200" s="215"/>
      <c r="E200" s="215"/>
    </row>
    <row r="201" spans="1:5" ht="15">
      <c r="A201" s="215"/>
      <c r="B201" s="215"/>
      <c r="C201" s="215"/>
      <c r="D201" s="215"/>
      <c r="E201" s="215"/>
    </row>
    <row r="202" spans="1:5" ht="15">
      <c r="A202" s="215"/>
      <c r="B202" s="215"/>
      <c r="C202" s="215"/>
      <c r="D202" s="215"/>
      <c r="E202" s="215"/>
    </row>
    <row r="203" spans="1:5" ht="15">
      <c r="A203" s="215"/>
      <c r="B203" s="215"/>
      <c r="C203" s="215"/>
      <c r="D203" s="215"/>
      <c r="E203" s="215"/>
    </row>
    <row r="204" spans="1:5" ht="15">
      <c r="A204" s="215"/>
      <c r="B204" s="215"/>
      <c r="C204" s="215"/>
      <c r="D204" s="215"/>
      <c r="E204" s="215"/>
    </row>
    <row r="205" spans="1:5" ht="15">
      <c r="A205" s="215"/>
      <c r="B205" s="215"/>
      <c r="C205" s="215"/>
      <c r="D205" s="215"/>
      <c r="E205" s="215"/>
    </row>
    <row r="642" spans="2:5" ht="30">
      <c r="B642" s="229" t="s">
        <v>217</v>
      </c>
      <c r="C642" s="230">
        <v>27</v>
      </c>
      <c r="D642" s="231" t="s">
        <v>218</v>
      </c>
      <c r="E642" s="232"/>
    </row>
    <row r="644" spans="1:5" ht="12.75" customHeight="1">
      <c r="A644" s="975" t="s">
        <v>219</v>
      </c>
      <c r="B644" s="975"/>
      <c r="C644" s="975"/>
      <c r="D644" s="975"/>
      <c r="E644" s="975"/>
    </row>
    <row r="645" spans="1:5" ht="25.5">
      <c r="A645" s="233" t="str">
        <f>"D.A present as on "&amp;('it pro'!E91)&amp;""</f>
        <v>D.A present as on Jan-2014</v>
      </c>
      <c r="B645" s="234">
        <v>63.344</v>
      </c>
      <c r="C645" s="235" t="s">
        <v>220</v>
      </c>
      <c r="D645" s="236"/>
      <c r="E645" s="236"/>
    </row>
    <row r="646" spans="1:5" ht="30">
      <c r="A646" s="237" t="str">
        <f>'it pro'!A133</f>
        <v>Actual D.A present as on Jan-2014</v>
      </c>
      <c r="B646" s="234">
        <v>71.904</v>
      </c>
      <c r="C646" s="238" t="s">
        <v>221</v>
      </c>
      <c r="D646" s="239"/>
      <c r="E646" s="239"/>
    </row>
    <row r="647" spans="1:5" ht="18">
      <c r="A647" s="240"/>
      <c r="C647" s="234">
        <v>77.896</v>
      </c>
      <c r="D647" s="239"/>
      <c r="E647" s="239"/>
    </row>
  </sheetData>
  <sheetProtection selectLockedCells="1" selectUnlockedCells="1"/>
  <mergeCells count="65">
    <mergeCell ref="I43:J43"/>
    <mergeCell ref="I44:J44"/>
    <mergeCell ref="I45:J45"/>
    <mergeCell ref="I46:J46"/>
    <mergeCell ref="I47:J47"/>
    <mergeCell ref="A644:E644"/>
    <mergeCell ref="A38:E38"/>
    <mergeCell ref="I38:J38"/>
    <mergeCell ref="I39:J39"/>
    <mergeCell ref="I40:J40"/>
    <mergeCell ref="I41:J41"/>
    <mergeCell ref="I42:J42"/>
    <mergeCell ref="G35:H35"/>
    <mergeCell ref="K35:O35"/>
    <mergeCell ref="Q35:T35"/>
    <mergeCell ref="U35:V35"/>
    <mergeCell ref="G36:H36"/>
    <mergeCell ref="G37:K37"/>
    <mergeCell ref="Q37:T37"/>
    <mergeCell ref="P31:Q31"/>
    <mergeCell ref="U32:V32"/>
    <mergeCell ref="G33:H34"/>
    <mergeCell ref="I33:J34"/>
    <mergeCell ref="K33:O34"/>
    <mergeCell ref="U33:V33"/>
    <mergeCell ref="U34:V34"/>
    <mergeCell ref="B25:C25"/>
    <mergeCell ref="L25:S27"/>
    <mergeCell ref="B26:C26"/>
    <mergeCell ref="B27:C27"/>
    <mergeCell ref="G27:H27"/>
    <mergeCell ref="B28:C28"/>
    <mergeCell ref="G28:H28"/>
    <mergeCell ref="L28:S28"/>
    <mergeCell ref="B23:C23"/>
    <mergeCell ref="G23:H23"/>
    <mergeCell ref="N23:Q24"/>
    <mergeCell ref="A24:C24"/>
    <mergeCell ref="D24:E24"/>
    <mergeCell ref="G24:J24"/>
    <mergeCell ref="K13:L13"/>
    <mergeCell ref="G14:H14"/>
    <mergeCell ref="G15:I15"/>
    <mergeCell ref="N20:Q22"/>
    <mergeCell ref="A21:C21"/>
    <mergeCell ref="A22:B22"/>
    <mergeCell ref="G22:H22"/>
    <mergeCell ref="H9:J9"/>
    <mergeCell ref="D10:E10"/>
    <mergeCell ref="H10:J10"/>
    <mergeCell ref="K10:L12"/>
    <mergeCell ref="C11:D11"/>
    <mergeCell ref="C12:D12"/>
    <mergeCell ref="B5:C5"/>
    <mergeCell ref="E5:F5"/>
    <mergeCell ref="B6:C6"/>
    <mergeCell ref="B7:C7"/>
    <mergeCell ref="B8:E8"/>
    <mergeCell ref="B9:E9"/>
    <mergeCell ref="A1:J1"/>
    <mergeCell ref="A2:E2"/>
    <mergeCell ref="G2:J3"/>
    <mergeCell ref="N2:Q4"/>
    <mergeCell ref="A3:D4"/>
    <mergeCell ref="G4:J4"/>
  </mergeCells>
  <dataValidations count="3">
    <dataValidation type="list" allowBlank="1" showErrorMessage="1" sqref="I33">
      <formula1>"Before 01/04/2013,After 01/04/2013"</formula1>
      <formula2>0</formula2>
    </dataValidation>
    <dataValidation type="list" allowBlank="1" showErrorMessage="1" sqref="K13">
      <formula1>'it data'!$D$46:$D$128</formula1>
      <formula2>0</formula2>
    </dataValidation>
    <dataValidation type="whole" operator="lessThanOrEqual" allowBlank="1" showErrorMessage="1" sqref="J35">
      <formula1>100000</formula1>
    </dataValidation>
  </dataValidations>
  <hyperlinks>
    <hyperlink ref="A2" r:id="rId1" display="visit for latest updates on      www.medakbadi.in"/>
    <hyperlink ref="L28" r:id="rId2" display="www.medakbadi.in"/>
  </hyperlinks>
  <printOptions/>
  <pageMargins left="0.1798611111111111" right="0.0798611111111111" top="0.5" bottom="0.3597222222222222" header="0.5118055555555555" footer="0.5118055555555555"/>
  <pageSetup horizontalDpi="300" verticalDpi="300" orientation="portrait" paperSize="5" scale="72"/>
  <drawing r:id="rId6"/>
  <legacyDrawing r:id="rId5"/>
  <oleObjects>
    <oleObject progId="Microsoft Office PowerPoint Slide" shapeId="86427318" r:id="rId4"/>
  </oleObjects>
</worksheet>
</file>

<file path=xl/worksheets/sheet4.xml><?xml version="1.0" encoding="utf-8"?>
<worksheet xmlns="http://schemas.openxmlformats.org/spreadsheetml/2006/main" xmlns:r="http://schemas.openxmlformats.org/officeDocument/2006/relationships">
  <dimension ref="A1:BZ367"/>
  <sheetViews>
    <sheetView showGridLines="0" zoomScale="90" zoomScaleNormal="90" zoomScalePageLayoutView="0" workbookViewId="0" topLeftCell="EM84">
      <selection activeCell="FB93" sqref="FB93"/>
    </sheetView>
  </sheetViews>
  <sheetFormatPr defaultColWidth="9.140625" defaultRowHeight="15"/>
  <cols>
    <col min="1" max="142" width="0" style="241" hidden="1" customWidth="1"/>
    <col min="143" max="156" width="6.7109375" style="241" customWidth="1"/>
    <col min="157" max="16384" width="9.140625" style="241" customWidth="1"/>
  </cols>
  <sheetData>
    <row r="1" spans="1:55" s="245" customFormat="1" ht="18.75" customHeight="1">
      <c r="A1" s="242"/>
      <c r="B1" s="242"/>
      <c r="C1" s="243"/>
      <c r="D1" s="243"/>
      <c r="E1" s="243"/>
      <c r="F1" s="243"/>
      <c r="G1" s="244"/>
      <c r="K1" s="242"/>
      <c r="L1" s="245">
        <v>1</v>
      </c>
      <c r="M1" s="245">
        <v>1</v>
      </c>
      <c r="N1" s="245">
        <f>'it data'!$H$5</f>
        <v>2014</v>
      </c>
      <c r="T1" s="246"/>
      <c r="U1" s="247"/>
      <c r="BC1" s="248" t="s">
        <v>222</v>
      </c>
    </row>
    <row r="2" spans="1:55" ht="30.75" customHeight="1">
      <c r="A2" s="249"/>
      <c r="B2" s="250"/>
      <c r="C2" s="251"/>
      <c r="D2" s="252"/>
      <c r="E2" s="252"/>
      <c r="F2" s="252"/>
      <c r="G2" s="252"/>
      <c r="H2" s="252"/>
      <c r="J2" s="253"/>
      <c r="K2" s="254"/>
      <c r="L2" s="255">
        <v>2</v>
      </c>
      <c r="N2" s="256">
        <f>DATE(N1,M1,L1)</f>
        <v>41640</v>
      </c>
      <c r="P2" s="241" t="s">
        <v>223</v>
      </c>
      <c r="S2" s="252"/>
      <c r="T2" s="252"/>
      <c r="U2" s="252"/>
      <c r="V2" s="252"/>
      <c r="BC2" s="248" t="s">
        <v>224</v>
      </c>
    </row>
    <row r="3" spans="1:52" ht="24" customHeight="1">
      <c r="A3" s="257" t="str">
        <f>" Statement Showing the Salary Particulars of : "&amp;(R28)&amp;" "&amp;('it data'!B5)&amp;"  "&amp;('it data'!E5)&amp;", "&amp;('it data'!B6)&amp;", Mandal : "&amp;('it data'!B7)&amp;""</f>
        <v> Statement Showing the Salary Particulars of : Sri. G.NAGENDRA KUMAR  SA , MPUPS,, Mandal : NANDYAL</v>
      </c>
      <c r="B3" s="250"/>
      <c r="C3" s="249"/>
      <c r="D3" s="252"/>
      <c r="E3" s="252"/>
      <c r="F3" s="252"/>
      <c r="G3" s="252"/>
      <c r="H3" s="252"/>
      <c r="J3" s="253"/>
      <c r="K3" s="254"/>
      <c r="L3" s="245">
        <v>3</v>
      </c>
      <c r="M3" s="241" t="s">
        <v>225</v>
      </c>
      <c r="N3" s="241" t="s">
        <v>226</v>
      </c>
      <c r="P3" s="241" t="s">
        <v>227</v>
      </c>
      <c r="AO3" s="258"/>
      <c r="AR3" s="259"/>
      <c r="AS3" s="259"/>
      <c r="AT3" s="260"/>
      <c r="AU3" s="260"/>
      <c r="AV3" s="260"/>
      <c r="AW3" s="260"/>
      <c r="AX3" s="260"/>
      <c r="AY3" s="260"/>
      <c r="AZ3" s="260"/>
    </row>
    <row r="4" spans="1:52" ht="24" customHeight="1">
      <c r="A4" s="249"/>
      <c r="B4" s="250"/>
      <c r="C4" s="249"/>
      <c r="D4" s="252"/>
      <c r="E4" s="252"/>
      <c r="F4" s="252"/>
      <c r="G4" s="252"/>
      <c r="H4" s="252"/>
      <c r="J4" s="253"/>
      <c r="K4" s="254"/>
      <c r="L4" s="255">
        <v>4</v>
      </c>
      <c r="M4" s="241" t="s">
        <v>228</v>
      </c>
      <c r="N4" s="241" t="s">
        <v>229</v>
      </c>
      <c r="P4" s="241" t="s">
        <v>230</v>
      </c>
      <c r="R4" s="241" t="s">
        <v>231</v>
      </c>
      <c r="AO4" s="258"/>
      <c r="AR4" s="259"/>
      <c r="AS4" s="259"/>
      <c r="AT4" s="260"/>
      <c r="AU4" s="260"/>
      <c r="AV4" s="260"/>
      <c r="AW4" s="260"/>
      <c r="AX4" s="261"/>
      <c r="AY4" s="262"/>
      <c r="AZ4" s="260"/>
    </row>
    <row r="5" spans="1:52" ht="22.5" customHeight="1">
      <c r="A5" s="249"/>
      <c r="B5" s="250"/>
      <c r="C5" s="249"/>
      <c r="D5" s="252"/>
      <c r="E5" s="252"/>
      <c r="F5" s="252"/>
      <c r="G5" s="252"/>
      <c r="H5" s="252"/>
      <c r="J5" s="253"/>
      <c r="K5" s="254"/>
      <c r="L5" s="245">
        <v>5</v>
      </c>
      <c r="M5" s="241" t="s">
        <v>232</v>
      </c>
      <c r="N5" s="241" t="s">
        <v>233</v>
      </c>
      <c r="P5" s="241" t="s">
        <v>234</v>
      </c>
      <c r="R5" s="241" t="s">
        <v>235</v>
      </c>
      <c r="AO5" s="258"/>
      <c r="AR5" s="259"/>
      <c r="AS5" s="259"/>
      <c r="AT5" s="260"/>
      <c r="AU5" s="260"/>
      <c r="AV5" s="260"/>
      <c r="AW5" s="260"/>
      <c r="AX5" s="261"/>
      <c r="AY5" s="262"/>
      <c r="AZ5" s="260"/>
    </row>
    <row r="6" spans="1:52" ht="23.25" customHeight="1">
      <c r="A6" s="249"/>
      <c r="B6" s="250"/>
      <c r="C6" s="249"/>
      <c r="D6" s="252"/>
      <c r="E6" s="252"/>
      <c r="F6" s="252"/>
      <c r="G6" s="252"/>
      <c r="H6" s="252"/>
      <c r="J6" s="263"/>
      <c r="K6" s="254"/>
      <c r="L6" s="255">
        <v>6</v>
      </c>
      <c r="M6" s="241" t="s">
        <v>236</v>
      </c>
      <c r="N6" s="241" t="s">
        <v>236</v>
      </c>
      <c r="O6" s="264"/>
      <c r="Q6" s="264"/>
      <c r="R6" s="264" t="s">
        <v>237</v>
      </c>
      <c r="AO6" s="258"/>
      <c r="AR6" s="265"/>
      <c r="AS6" s="265"/>
      <c r="AT6" s="260"/>
      <c r="AU6" s="260"/>
      <c r="AV6" s="260"/>
      <c r="AW6" s="260"/>
      <c r="AX6" s="261"/>
      <c r="AY6" s="262"/>
      <c r="AZ6" s="260"/>
    </row>
    <row r="7" spans="1:52" ht="27.75" customHeight="1">
      <c r="A7" s="249"/>
      <c r="B7" s="250"/>
      <c r="C7" s="249"/>
      <c r="D7" s="252"/>
      <c r="E7" s="252"/>
      <c r="F7" s="252"/>
      <c r="G7" s="252"/>
      <c r="H7" s="252"/>
      <c r="J7" s="263"/>
      <c r="K7" s="254"/>
      <c r="L7" s="245">
        <v>7</v>
      </c>
      <c r="M7" s="241" t="s">
        <v>238</v>
      </c>
      <c r="N7" s="241" t="s">
        <v>239</v>
      </c>
      <c r="O7" s="264"/>
      <c r="P7" s="264" t="s">
        <v>240</v>
      </c>
      <c r="Q7" s="264"/>
      <c r="R7" s="264" t="s">
        <v>241</v>
      </c>
      <c r="AO7" s="262"/>
      <c r="AR7" s="259"/>
      <c r="AS7" s="259"/>
      <c r="AT7" s="260"/>
      <c r="AU7" s="260"/>
      <c r="AV7" s="260"/>
      <c r="AW7" s="260"/>
      <c r="AX7" s="266"/>
      <c r="AY7" s="262"/>
      <c r="AZ7" s="260"/>
    </row>
    <row r="8" spans="1:52" ht="21" customHeight="1">
      <c r="A8" s="249"/>
      <c r="B8" s="250"/>
      <c r="C8" s="249"/>
      <c r="D8" s="252"/>
      <c r="E8" s="252"/>
      <c r="F8" s="252"/>
      <c r="G8" s="252"/>
      <c r="H8" s="252"/>
      <c r="J8" s="263"/>
      <c r="K8" s="254"/>
      <c r="L8" s="255">
        <v>8</v>
      </c>
      <c r="M8" s="241" t="s">
        <v>242</v>
      </c>
      <c r="N8" s="241" t="s">
        <v>243</v>
      </c>
      <c r="O8" s="264"/>
      <c r="P8" s="264" t="s">
        <v>244</v>
      </c>
      <c r="Q8" s="264"/>
      <c r="R8" s="264"/>
      <c r="AO8" s="262"/>
      <c r="AR8" s="259"/>
      <c r="AS8" s="259"/>
      <c r="AT8" s="260"/>
      <c r="AU8" s="260"/>
      <c r="AV8" s="260"/>
      <c r="AW8" s="260"/>
      <c r="AX8" s="261"/>
      <c r="AY8" s="262"/>
      <c r="AZ8" s="260"/>
    </row>
    <row r="9" spans="1:52" ht="26.25" customHeight="1">
      <c r="A9" s="267"/>
      <c r="B9" s="250"/>
      <c r="C9" s="249"/>
      <c r="D9" s="252"/>
      <c r="E9" s="252"/>
      <c r="F9" s="252"/>
      <c r="G9" s="252"/>
      <c r="H9" s="252"/>
      <c r="J9" s="253"/>
      <c r="K9" s="254"/>
      <c r="L9" s="245">
        <v>9</v>
      </c>
      <c r="M9" s="241" t="s">
        <v>245</v>
      </c>
      <c r="N9" s="241" t="s">
        <v>246</v>
      </c>
      <c r="O9" s="264"/>
      <c r="P9" s="264"/>
      <c r="Q9" s="264"/>
      <c r="R9" s="264"/>
      <c r="AB9" s="241">
        <v>1</v>
      </c>
      <c r="AC9" s="241">
        <f>'it data'!C46</f>
        <v>6700</v>
      </c>
      <c r="AD9" s="241">
        <v>3850</v>
      </c>
      <c r="AE9" s="241">
        <v>3950</v>
      </c>
      <c r="AF9" s="241">
        <f aca="true" t="shared" si="0" ref="AF9:AF40">AC9</f>
        <v>6700</v>
      </c>
      <c r="AG9" s="241">
        <f aca="true" t="shared" si="1" ref="AG9:AG40">AC10</f>
        <v>6900</v>
      </c>
      <c r="AH9" s="241">
        <f aca="true" t="shared" si="2" ref="AH9:AH40">AC11</f>
        <v>7100</v>
      </c>
      <c r="AO9" s="262"/>
      <c r="AR9" s="259"/>
      <c r="AS9" s="259"/>
      <c r="AT9" s="260"/>
      <c r="AU9" s="260"/>
      <c r="AV9" s="260"/>
      <c r="AW9" s="260"/>
      <c r="AX9" s="261"/>
      <c r="AY9" s="262"/>
      <c r="AZ9" s="260"/>
    </row>
    <row r="10" spans="1:52" ht="27" customHeight="1">
      <c r="A10" s="249"/>
      <c r="B10" s="268"/>
      <c r="C10" s="251"/>
      <c r="D10" s="252"/>
      <c r="E10" s="252"/>
      <c r="F10" s="252"/>
      <c r="G10" s="252"/>
      <c r="H10" s="252"/>
      <c r="J10" s="253"/>
      <c r="K10" s="254"/>
      <c r="L10" s="245">
        <v>10</v>
      </c>
      <c r="M10" s="241" t="s">
        <v>247</v>
      </c>
      <c r="N10" s="241" t="s">
        <v>248</v>
      </c>
      <c r="O10" s="264"/>
      <c r="P10" s="264"/>
      <c r="Q10" s="264"/>
      <c r="R10" s="264"/>
      <c r="AB10" s="241">
        <v>2</v>
      </c>
      <c r="AC10" s="241">
        <f>'it data'!C47</f>
        <v>6900</v>
      </c>
      <c r="AD10" s="241">
        <v>3950</v>
      </c>
      <c r="AE10" s="241">
        <v>4050</v>
      </c>
      <c r="AF10" s="241">
        <f t="shared" si="0"/>
        <v>6900</v>
      </c>
      <c r="AG10" s="241">
        <f t="shared" si="1"/>
        <v>7100</v>
      </c>
      <c r="AH10" s="241">
        <f t="shared" si="2"/>
        <v>7300</v>
      </c>
      <c r="AO10" s="262"/>
      <c r="AR10" s="265"/>
      <c r="AS10" s="265"/>
      <c r="AT10" s="260"/>
      <c r="AU10" s="260"/>
      <c r="AV10" s="260"/>
      <c r="AW10" s="260"/>
      <c r="AX10" s="261"/>
      <c r="AY10" s="262"/>
      <c r="AZ10" s="260"/>
    </row>
    <row r="11" spans="1:55" ht="25.5" customHeight="1">
      <c r="A11" s="249"/>
      <c r="B11" s="268"/>
      <c r="C11" s="249"/>
      <c r="D11" s="252"/>
      <c r="E11" s="252"/>
      <c r="F11" s="252"/>
      <c r="G11" s="252"/>
      <c r="H11" s="252"/>
      <c r="J11" s="263"/>
      <c r="K11" s="254"/>
      <c r="L11" s="255">
        <v>11</v>
      </c>
      <c r="M11" s="241" t="s">
        <v>249</v>
      </c>
      <c r="N11" s="241" t="s">
        <v>250</v>
      </c>
      <c r="O11" s="264"/>
      <c r="P11" s="264"/>
      <c r="Q11" s="264"/>
      <c r="R11" s="264" t="s">
        <v>251</v>
      </c>
      <c r="AB11" s="241">
        <v>3</v>
      </c>
      <c r="AC11" s="241">
        <f>'it data'!C48</f>
        <v>7100</v>
      </c>
      <c r="AD11" s="241">
        <v>4050</v>
      </c>
      <c r="AE11" s="241">
        <v>4150</v>
      </c>
      <c r="AF11" s="241">
        <f t="shared" si="0"/>
        <v>7100</v>
      </c>
      <c r="AG11" s="241">
        <f t="shared" si="1"/>
        <v>7300</v>
      </c>
      <c r="AH11" s="241">
        <f t="shared" si="2"/>
        <v>7520</v>
      </c>
      <c r="AO11" s="262"/>
      <c r="AR11" s="259"/>
      <c r="AS11" s="259"/>
      <c r="AT11" s="260"/>
      <c r="AU11" s="260"/>
      <c r="AV11" s="260"/>
      <c r="AW11" s="260"/>
      <c r="AX11" s="261"/>
      <c r="AY11" s="262"/>
      <c r="AZ11" s="260"/>
      <c r="BC11" s="269"/>
    </row>
    <row r="12" spans="1:55" ht="27" customHeight="1">
      <c r="A12" s="249"/>
      <c r="B12" s="268"/>
      <c r="C12" s="249"/>
      <c r="D12" s="252"/>
      <c r="E12" s="252"/>
      <c r="F12" s="252"/>
      <c r="G12" s="252"/>
      <c r="H12" s="252"/>
      <c r="L12" s="245">
        <v>12</v>
      </c>
      <c r="M12" s="241" t="s">
        <v>252</v>
      </c>
      <c r="N12" s="241" t="s">
        <v>253</v>
      </c>
      <c r="O12" s="264"/>
      <c r="P12" s="252" t="s">
        <v>254</v>
      </c>
      <c r="Q12" s="252">
        <v>41</v>
      </c>
      <c r="R12" s="252">
        <f>VLOOKUP(Q12,AB9:AC88,2,2)</f>
        <v>20680</v>
      </c>
      <c r="AB12" s="241">
        <v>4</v>
      </c>
      <c r="AC12" s="241">
        <f>'it data'!C49</f>
        <v>7300</v>
      </c>
      <c r="AD12" s="241">
        <v>4150</v>
      </c>
      <c r="AE12" s="241">
        <v>4260</v>
      </c>
      <c r="AF12" s="241">
        <f t="shared" si="0"/>
        <v>7300</v>
      </c>
      <c r="AG12" s="241">
        <f t="shared" si="1"/>
        <v>7520</v>
      </c>
      <c r="AH12" s="241">
        <f t="shared" si="2"/>
        <v>7740</v>
      </c>
      <c r="AO12" s="262"/>
      <c r="AR12" s="259"/>
      <c r="AS12" s="259"/>
      <c r="AT12" s="260"/>
      <c r="AU12" s="260"/>
      <c r="AV12" s="260"/>
      <c r="AW12" s="260"/>
      <c r="AX12" s="261"/>
      <c r="AY12" s="262"/>
      <c r="AZ12" s="260"/>
      <c r="BC12" s="248"/>
    </row>
    <row r="13" spans="1:55" ht="27" customHeight="1">
      <c r="A13" s="249"/>
      <c r="B13" s="268"/>
      <c r="C13" s="249"/>
      <c r="D13" s="252"/>
      <c r="E13" s="249"/>
      <c r="F13" s="252"/>
      <c r="G13" s="252"/>
      <c r="H13" s="252"/>
      <c r="L13" s="255">
        <v>13</v>
      </c>
      <c r="M13" s="241" t="s">
        <v>255</v>
      </c>
      <c r="N13" s="241" t="s">
        <v>256</v>
      </c>
      <c r="O13" s="264"/>
      <c r="P13" s="252" t="s">
        <v>257</v>
      </c>
      <c r="Q13" s="264">
        <v>12</v>
      </c>
      <c r="R13" s="264">
        <v>1</v>
      </c>
      <c r="AB13" s="241">
        <v>5</v>
      </c>
      <c r="AC13" s="241">
        <f>'it data'!C50</f>
        <v>7520</v>
      </c>
      <c r="AD13" s="241">
        <v>4260</v>
      </c>
      <c r="AE13" s="241">
        <v>4370</v>
      </c>
      <c r="AF13" s="241">
        <f t="shared" si="0"/>
        <v>7520</v>
      </c>
      <c r="AG13" s="241">
        <f t="shared" si="1"/>
        <v>7740</v>
      </c>
      <c r="AH13" s="241">
        <f t="shared" si="2"/>
        <v>7960</v>
      </c>
      <c r="AO13" s="262"/>
      <c r="AR13" s="259"/>
      <c r="AS13" s="259"/>
      <c r="AT13" s="260"/>
      <c r="AU13" s="260"/>
      <c r="AV13" s="260"/>
      <c r="AW13" s="260"/>
      <c r="AX13" s="261"/>
      <c r="AY13" s="262"/>
      <c r="AZ13" s="260"/>
      <c r="BC13" s="248"/>
    </row>
    <row r="14" spans="1:55" ht="27" customHeight="1">
      <c r="A14" s="249"/>
      <c r="B14" s="268"/>
      <c r="C14" s="249"/>
      <c r="D14" s="252"/>
      <c r="E14" s="249"/>
      <c r="F14" s="252"/>
      <c r="G14" s="252"/>
      <c r="H14" s="252"/>
      <c r="L14" s="245">
        <v>14</v>
      </c>
      <c r="M14" s="241" t="s">
        <v>258</v>
      </c>
      <c r="N14" s="241" t="s">
        <v>259</v>
      </c>
      <c r="O14" s="264"/>
      <c r="P14" s="270" t="s">
        <v>260</v>
      </c>
      <c r="Q14" s="264">
        <v>1</v>
      </c>
      <c r="R14" s="264">
        <v>14</v>
      </c>
      <c r="S14" s="241">
        <v>2</v>
      </c>
      <c r="AB14" s="241">
        <v>6</v>
      </c>
      <c r="AC14" s="241">
        <f>'it data'!C51</f>
        <v>7740</v>
      </c>
      <c r="AD14" s="241">
        <v>4370</v>
      </c>
      <c r="AE14" s="241">
        <v>4480</v>
      </c>
      <c r="AF14" s="241">
        <f t="shared" si="0"/>
        <v>7740</v>
      </c>
      <c r="AG14" s="241">
        <f t="shared" si="1"/>
        <v>7960</v>
      </c>
      <c r="AH14" s="241">
        <f t="shared" si="2"/>
        <v>8200</v>
      </c>
      <c r="AO14" s="262"/>
      <c r="AR14" s="259"/>
      <c r="AS14" s="259"/>
      <c r="AT14" s="260"/>
      <c r="AU14" s="260"/>
      <c r="AV14" s="260"/>
      <c r="AW14" s="260"/>
      <c r="AX14" s="261"/>
      <c r="AY14" s="262"/>
      <c r="AZ14" s="260"/>
      <c r="BC14" s="248"/>
    </row>
    <row r="15" spans="1:55" ht="36.75" customHeight="1">
      <c r="A15" s="249"/>
      <c r="B15" s="268"/>
      <c r="C15" s="249"/>
      <c r="D15" s="252"/>
      <c r="E15" s="252"/>
      <c r="F15" s="252"/>
      <c r="G15" s="252"/>
      <c r="H15" s="252"/>
      <c r="L15" s="255">
        <v>15</v>
      </c>
      <c r="M15" s="241" t="s">
        <v>261</v>
      </c>
      <c r="N15" s="241" t="s">
        <v>226</v>
      </c>
      <c r="O15" s="264"/>
      <c r="P15" s="271" t="s">
        <v>165</v>
      </c>
      <c r="Q15" s="272">
        <v>1</v>
      </c>
      <c r="R15" s="264"/>
      <c r="AB15" s="241">
        <v>7</v>
      </c>
      <c r="AC15" s="241">
        <f>'it data'!C52</f>
        <v>7960</v>
      </c>
      <c r="AD15" s="241">
        <v>4480</v>
      </c>
      <c r="AE15" s="241">
        <v>4595</v>
      </c>
      <c r="AF15" s="241">
        <f t="shared" si="0"/>
        <v>7960</v>
      </c>
      <c r="AG15" s="241">
        <f t="shared" si="1"/>
        <v>8200</v>
      </c>
      <c r="AH15" s="241">
        <f t="shared" si="2"/>
        <v>8440</v>
      </c>
      <c r="AO15" s="262"/>
      <c r="AR15" s="265"/>
      <c r="AS15" s="265"/>
      <c r="AT15" s="260"/>
      <c r="AU15" s="260"/>
      <c r="AV15" s="260"/>
      <c r="AW15" s="260"/>
      <c r="AX15" s="261"/>
      <c r="AY15" s="262"/>
      <c r="AZ15" s="260"/>
      <c r="BC15" s="248"/>
    </row>
    <row r="16" spans="1:67" ht="37.5" customHeight="1">
      <c r="A16" s="249"/>
      <c r="B16" s="273"/>
      <c r="C16" s="267"/>
      <c r="D16" s="252"/>
      <c r="E16" s="252"/>
      <c r="F16" s="252"/>
      <c r="G16" s="252"/>
      <c r="H16" s="252"/>
      <c r="L16" s="245">
        <v>16</v>
      </c>
      <c r="O16" s="274"/>
      <c r="P16" s="271" t="s">
        <v>262</v>
      </c>
      <c r="Q16" s="274">
        <v>2</v>
      </c>
      <c r="R16" s="275">
        <v>12</v>
      </c>
      <c r="AB16" s="241">
        <v>8</v>
      </c>
      <c r="AC16" s="241">
        <f>'it data'!C53</f>
        <v>8200</v>
      </c>
      <c r="AD16" s="241">
        <v>4595</v>
      </c>
      <c r="AE16" s="241">
        <v>4710</v>
      </c>
      <c r="AF16" s="241">
        <f t="shared" si="0"/>
        <v>8200</v>
      </c>
      <c r="AG16" s="241">
        <f t="shared" si="1"/>
        <v>8440</v>
      </c>
      <c r="AH16" s="241">
        <f t="shared" si="2"/>
        <v>8680</v>
      </c>
      <c r="AO16" s="262"/>
      <c r="AR16" s="259"/>
      <c r="AS16" s="259"/>
      <c r="AT16" s="260"/>
      <c r="AU16" s="260"/>
      <c r="AV16" s="260"/>
      <c r="AW16" s="260"/>
      <c r="AX16" s="260"/>
      <c r="AY16" s="260"/>
      <c r="AZ16" s="260"/>
      <c r="BO16" s="241" t="s">
        <v>263</v>
      </c>
    </row>
    <row r="17" spans="1:67" ht="24" customHeight="1">
      <c r="A17" s="249"/>
      <c r="B17" s="273"/>
      <c r="C17" s="267"/>
      <c r="D17" s="252"/>
      <c r="E17" s="252"/>
      <c r="F17" s="252"/>
      <c r="G17" s="252"/>
      <c r="H17" s="252"/>
      <c r="L17" s="255">
        <v>17</v>
      </c>
      <c r="P17" s="271" t="s">
        <v>264</v>
      </c>
      <c r="Q17" s="252">
        <f>IF(Q28=1,1,2)</f>
        <v>1</v>
      </c>
      <c r="R17" s="252"/>
      <c r="AB17" s="241">
        <v>9</v>
      </c>
      <c r="AC17" s="241">
        <f>'it data'!C54</f>
        <v>8440</v>
      </c>
      <c r="AD17" s="241">
        <v>4710</v>
      </c>
      <c r="AE17" s="241">
        <v>4825</v>
      </c>
      <c r="AF17" s="241">
        <f t="shared" si="0"/>
        <v>8440</v>
      </c>
      <c r="AG17" s="241">
        <f t="shared" si="1"/>
        <v>8680</v>
      </c>
      <c r="AH17" s="241">
        <f t="shared" si="2"/>
        <v>8940</v>
      </c>
      <c r="AO17" s="262"/>
      <c r="AP17" s="258"/>
      <c r="AQ17" s="258"/>
      <c r="AR17" s="259"/>
      <c r="AS17" s="259"/>
      <c r="AT17" s="260"/>
      <c r="AU17" s="260"/>
      <c r="AV17" s="260"/>
      <c r="AW17" s="260"/>
      <c r="AX17" s="260"/>
      <c r="AY17" s="260"/>
      <c r="BD17" s="258"/>
      <c r="BO17" s="241" t="s">
        <v>265</v>
      </c>
    </row>
    <row r="18" spans="1:67" ht="27.75" customHeight="1">
      <c r="A18" s="249"/>
      <c r="B18" s="252"/>
      <c r="C18" s="267"/>
      <c r="D18" s="252"/>
      <c r="E18" s="267"/>
      <c r="F18" s="252"/>
      <c r="G18" s="252"/>
      <c r="H18" s="252"/>
      <c r="L18" s="245">
        <v>18</v>
      </c>
      <c r="P18" s="271" t="s">
        <v>266</v>
      </c>
      <c r="Q18" s="252">
        <v>2</v>
      </c>
      <c r="R18" s="252"/>
      <c r="V18" s="241" t="s">
        <v>267</v>
      </c>
      <c r="W18" s="241" t="s">
        <v>268</v>
      </c>
      <c r="AB18" s="241">
        <v>10</v>
      </c>
      <c r="AC18" s="241">
        <f>'it data'!C55</f>
        <v>8680</v>
      </c>
      <c r="AD18" s="241">
        <v>4825</v>
      </c>
      <c r="AE18" s="241">
        <v>4950</v>
      </c>
      <c r="AF18" s="241">
        <f t="shared" si="0"/>
        <v>8680</v>
      </c>
      <c r="AG18" s="241">
        <f t="shared" si="1"/>
        <v>8940</v>
      </c>
      <c r="AH18" s="241">
        <f t="shared" si="2"/>
        <v>9200</v>
      </c>
      <c r="AR18" s="259"/>
      <c r="AS18" s="259"/>
      <c r="AT18" s="260"/>
      <c r="AU18" s="260"/>
      <c r="AV18" s="260"/>
      <c r="AW18" s="260"/>
      <c r="AX18" s="260"/>
      <c r="AY18" s="260"/>
      <c r="BD18" s="258"/>
      <c r="BO18" s="241" t="s">
        <v>269</v>
      </c>
    </row>
    <row r="19" spans="1:67" ht="26.25" customHeight="1">
      <c r="A19" s="249"/>
      <c r="B19" s="273"/>
      <c r="C19" s="267"/>
      <c r="D19" s="252"/>
      <c r="E19" s="267"/>
      <c r="F19" s="252"/>
      <c r="G19" s="252"/>
      <c r="H19" s="252"/>
      <c r="L19" s="245">
        <v>19</v>
      </c>
      <c r="P19" s="271" t="s">
        <v>149</v>
      </c>
      <c r="Q19" s="252">
        <v>11</v>
      </c>
      <c r="R19" s="252">
        <v>10</v>
      </c>
      <c r="S19" s="241" t="str">
        <f>VLOOKUP(R19,A91:E104,5,0)</f>
        <v>Oct-2014</v>
      </c>
      <c r="T19" s="241">
        <f>DATEVALUE(S19)</f>
        <v>41913</v>
      </c>
      <c r="U19" s="241">
        <f>VLOOKUP(R19,A91:K104,11,0)</f>
        <v>31</v>
      </c>
      <c r="V19" s="241">
        <f>SUM(U19-W19)</f>
        <v>10</v>
      </c>
      <c r="W19" s="241">
        <f>U19-Q19+1</f>
        <v>21</v>
      </c>
      <c r="X19" s="241">
        <f>IF(G49=E50,"",""&amp;(G50)&amp;"% HRA from "&amp;(Q19)&amp;"-"&amp;(U19)&amp;"/"&amp;(TEXT(S19,"m/yy"))&amp;"")</f>
      </c>
      <c r="AB19" s="241">
        <v>11</v>
      </c>
      <c r="AC19" s="241">
        <f>'it data'!C56</f>
        <v>8940</v>
      </c>
      <c r="AD19" s="241">
        <v>4950</v>
      </c>
      <c r="AE19" s="241">
        <v>5075</v>
      </c>
      <c r="AF19" s="241">
        <f t="shared" si="0"/>
        <v>8940</v>
      </c>
      <c r="AG19" s="241">
        <f t="shared" si="1"/>
        <v>9200</v>
      </c>
      <c r="AH19" s="241">
        <f t="shared" si="2"/>
        <v>9460</v>
      </c>
      <c r="AP19" s="265"/>
      <c r="AS19" s="265"/>
      <c r="AT19" s="260"/>
      <c r="AU19" s="260"/>
      <c r="AV19" s="260"/>
      <c r="AW19" s="260" t="s">
        <v>270</v>
      </c>
      <c r="AX19" s="260"/>
      <c r="AY19" s="260"/>
      <c r="BD19" s="258"/>
      <c r="BO19" s="241" t="s">
        <v>271</v>
      </c>
    </row>
    <row r="20" spans="1:67" ht="26.25" customHeight="1">
      <c r="A20" s="249"/>
      <c r="B20" s="273"/>
      <c r="C20" s="267"/>
      <c r="D20" s="252"/>
      <c r="E20" s="267"/>
      <c r="F20" s="252"/>
      <c r="G20" s="252"/>
      <c r="H20" s="252"/>
      <c r="L20" s="255">
        <v>20</v>
      </c>
      <c r="P20" s="271" t="s">
        <v>211</v>
      </c>
      <c r="Q20" s="252">
        <v>1</v>
      </c>
      <c r="R20" s="252"/>
      <c r="AB20" s="241">
        <v>12</v>
      </c>
      <c r="AC20" s="241">
        <f>'it data'!C57</f>
        <v>9200</v>
      </c>
      <c r="AD20" s="241">
        <v>5075</v>
      </c>
      <c r="AE20" s="241">
        <v>5200</v>
      </c>
      <c r="AF20" s="241">
        <f t="shared" si="0"/>
        <v>9200</v>
      </c>
      <c r="AG20" s="241">
        <f t="shared" si="1"/>
        <v>9460</v>
      </c>
      <c r="AH20" s="241">
        <f t="shared" si="2"/>
        <v>9740</v>
      </c>
      <c r="AO20" s="258"/>
      <c r="AP20" s="258"/>
      <c r="AR20" s="258"/>
      <c r="AS20" s="259"/>
      <c r="AT20" s="260"/>
      <c r="AU20" s="260"/>
      <c r="AV20" s="260"/>
      <c r="AX20" s="260"/>
      <c r="AY20" s="260"/>
      <c r="AZ20" s="260"/>
      <c r="BA20" s="258"/>
      <c r="BD20" s="258"/>
      <c r="BO20" s="241" t="s">
        <v>272</v>
      </c>
    </row>
    <row r="21" spans="1:67" ht="26.25" customHeight="1">
      <c r="A21" s="249"/>
      <c r="B21" s="273"/>
      <c r="C21" s="267"/>
      <c r="D21" s="252"/>
      <c r="E21" s="267"/>
      <c r="F21" s="252"/>
      <c r="G21" s="252"/>
      <c r="H21" s="252"/>
      <c r="L21" s="245">
        <v>21</v>
      </c>
      <c r="P21" s="271"/>
      <c r="Q21" s="252"/>
      <c r="R21" s="252"/>
      <c r="AB21" s="241">
        <v>13</v>
      </c>
      <c r="AC21" s="241">
        <f>'it data'!C58</f>
        <v>9460</v>
      </c>
      <c r="AD21" s="241">
        <v>5200</v>
      </c>
      <c r="AE21" s="241">
        <v>5335</v>
      </c>
      <c r="AF21" s="241">
        <f t="shared" si="0"/>
        <v>9460</v>
      </c>
      <c r="AG21" s="241">
        <f t="shared" si="1"/>
        <v>9740</v>
      </c>
      <c r="AH21" s="241">
        <f t="shared" si="2"/>
        <v>10020</v>
      </c>
      <c r="AP21" s="258"/>
      <c r="AR21" s="258"/>
      <c r="AS21" s="276"/>
      <c r="AT21" s="260"/>
      <c r="AU21" s="260"/>
      <c r="AV21" s="260"/>
      <c r="AW21" s="241">
        <f>IF(OR('it pro'!Q34=1,'it pro'!Q34=2),MIN(AO3,AP3),0)</f>
        <v>0</v>
      </c>
      <c r="AX21" s="260"/>
      <c r="AY21" s="260"/>
      <c r="AZ21" s="260"/>
      <c r="BA21" s="277"/>
      <c r="BD21" s="258"/>
      <c r="BO21" s="241" t="s">
        <v>273</v>
      </c>
    </row>
    <row r="22" spans="1:56" ht="26.25" customHeight="1">
      <c r="A22" s="249"/>
      <c r="B22" s="273"/>
      <c r="C22" s="267"/>
      <c r="D22" s="252"/>
      <c r="E22" s="278"/>
      <c r="F22" s="252"/>
      <c r="G22" s="252"/>
      <c r="H22" s="252"/>
      <c r="L22" s="255">
        <v>22</v>
      </c>
      <c r="P22" s="271"/>
      <c r="Q22" s="252"/>
      <c r="R22" s="252"/>
      <c r="AB22" s="241">
        <v>14</v>
      </c>
      <c r="AC22" s="241">
        <f>'it data'!C59</f>
        <v>9740</v>
      </c>
      <c r="AD22" s="241">
        <v>5335</v>
      </c>
      <c r="AE22" s="241">
        <v>5470</v>
      </c>
      <c r="AF22" s="241">
        <f t="shared" si="0"/>
        <v>9740</v>
      </c>
      <c r="AG22" s="241">
        <f t="shared" si="1"/>
        <v>10020</v>
      </c>
      <c r="AH22" s="241">
        <f t="shared" si="2"/>
        <v>10300</v>
      </c>
      <c r="AP22" s="258"/>
      <c r="AR22" s="258"/>
      <c r="AS22" s="276"/>
      <c r="AT22" s="260"/>
      <c r="AU22" s="260"/>
      <c r="AV22" s="260"/>
      <c r="AW22" s="241">
        <f>AQ4</f>
        <v>0</v>
      </c>
      <c r="AX22" s="260"/>
      <c r="AY22" s="260"/>
      <c r="AZ22" s="260"/>
      <c r="BA22" s="277"/>
      <c r="BD22" s="258"/>
    </row>
    <row r="23" spans="1:56" ht="21" customHeight="1">
      <c r="A23" s="249"/>
      <c r="B23" s="273"/>
      <c r="C23" s="267"/>
      <c r="D23" s="252"/>
      <c r="E23" s="249"/>
      <c r="F23" s="252"/>
      <c r="G23" s="252"/>
      <c r="H23" s="252"/>
      <c r="L23" s="245">
        <v>23</v>
      </c>
      <c r="R23" s="252"/>
      <c r="AB23" s="241">
        <v>15</v>
      </c>
      <c r="AC23" s="241">
        <f>'it data'!C60</f>
        <v>10020</v>
      </c>
      <c r="AD23" s="241">
        <v>5470</v>
      </c>
      <c r="AE23" s="241">
        <v>5605</v>
      </c>
      <c r="AF23" s="241">
        <f t="shared" si="0"/>
        <v>10020</v>
      </c>
      <c r="AG23" s="241">
        <f t="shared" si="1"/>
        <v>10300</v>
      </c>
      <c r="AH23" s="241">
        <f t="shared" si="2"/>
        <v>10600</v>
      </c>
      <c r="AP23" s="258"/>
      <c r="AR23" s="258"/>
      <c r="AS23" s="259"/>
      <c r="AT23" s="260"/>
      <c r="AU23" s="262"/>
      <c r="AV23" s="260"/>
      <c r="AW23" s="241">
        <f>AQ5</f>
        <v>0</v>
      </c>
      <c r="AX23" s="260"/>
      <c r="AY23" s="260"/>
      <c r="AZ23" s="260"/>
      <c r="BA23" s="277"/>
      <c r="BD23" s="258"/>
    </row>
    <row r="24" spans="1:56" ht="19.5" customHeight="1">
      <c r="A24" s="267"/>
      <c r="B24" s="273"/>
      <c r="C24" s="267"/>
      <c r="D24" s="252"/>
      <c r="E24" s="249"/>
      <c r="F24" s="252"/>
      <c r="G24" s="252"/>
      <c r="H24" s="252"/>
      <c r="L24" s="255">
        <v>24</v>
      </c>
      <c r="P24" s="271"/>
      <c r="Q24" s="252"/>
      <c r="R24" s="252"/>
      <c r="AB24" s="241">
        <v>16</v>
      </c>
      <c r="AC24" s="241">
        <f>'it data'!C61</f>
        <v>10300</v>
      </c>
      <c r="AD24" s="241">
        <v>5605</v>
      </c>
      <c r="AE24" s="241">
        <v>5750</v>
      </c>
      <c r="AF24" s="241">
        <f t="shared" si="0"/>
        <v>10300</v>
      </c>
      <c r="AG24" s="241">
        <f t="shared" si="1"/>
        <v>10600</v>
      </c>
      <c r="AH24" s="241">
        <f t="shared" si="2"/>
        <v>10900</v>
      </c>
      <c r="AR24" s="258"/>
      <c r="AS24" s="259"/>
      <c r="AT24" s="260"/>
      <c r="AU24" s="262"/>
      <c r="AV24" s="260"/>
      <c r="AW24" s="260">
        <f>AQ6</f>
        <v>0</v>
      </c>
      <c r="AX24" s="260"/>
      <c r="AY24" s="260"/>
      <c r="AZ24" s="260"/>
      <c r="BA24" s="277"/>
      <c r="BD24" s="258"/>
    </row>
    <row r="25" spans="1:56" ht="27" customHeight="1">
      <c r="A25" s="249"/>
      <c r="B25" s="273"/>
      <c r="C25" s="267"/>
      <c r="D25" s="252"/>
      <c r="E25" s="249">
        <v>3</v>
      </c>
      <c r="F25" s="252"/>
      <c r="G25" s="252"/>
      <c r="H25" s="252"/>
      <c r="L25" s="245">
        <v>25</v>
      </c>
      <c r="P25" s="252"/>
      <c r="Q25" s="252"/>
      <c r="R25" s="252"/>
      <c r="T25" s="241">
        <v>2</v>
      </c>
      <c r="U25" s="241">
        <f>VLOOKUP(T25,T26:U29,2,90)</f>
        <v>30</v>
      </c>
      <c r="AB25" s="241">
        <v>17</v>
      </c>
      <c r="AC25" s="241">
        <f>'it data'!C62</f>
        <v>10600</v>
      </c>
      <c r="AD25" s="241">
        <v>5750</v>
      </c>
      <c r="AE25" s="241">
        <v>5895</v>
      </c>
      <c r="AF25" s="241">
        <f t="shared" si="0"/>
        <v>10600</v>
      </c>
      <c r="AG25" s="241">
        <f t="shared" si="1"/>
        <v>10900</v>
      </c>
      <c r="AH25" s="241">
        <f t="shared" si="2"/>
        <v>11200</v>
      </c>
      <c r="AN25" s="279"/>
      <c r="AO25" s="279"/>
      <c r="AP25" s="279"/>
      <c r="AQ25" s="279"/>
      <c r="AR25" s="260"/>
      <c r="AS25" s="260"/>
      <c r="AT25" s="260"/>
      <c r="AU25" s="262"/>
      <c r="AV25" s="260"/>
      <c r="AW25" s="260">
        <f aca="true" t="shared" si="3" ref="AW25:AX31">AR25</f>
        <v>0</v>
      </c>
      <c r="AX25" s="279">
        <f t="shared" si="3"/>
        <v>0</v>
      </c>
      <c r="AY25" s="279"/>
      <c r="AZ25" s="260"/>
      <c r="BA25" s="279"/>
      <c r="BB25" s="279"/>
      <c r="BD25" s="258"/>
    </row>
    <row r="26" spans="1:56" ht="28.5" customHeight="1">
      <c r="A26" s="249"/>
      <c r="B26" s="273"/>
      <c r="C26" s="267"/>
      <c r="D26" s="252"/>
      <c r="E26" s="278" t="s">
        <v>274</v>
      </c>
      <c r="F26" s="252"/>
      <c r="G26" s="252"/>
      <c r="H26" s="252"/>
      <c r="L26" s="255">
        <v>26</v>
      </c>
      <c r="R26" s="241" t="str">
        <f>CONCATENATE(R27,IF('it data'!$B$25="","    ",'it data'!$B$25),"")</f>
        <v>Sri. </v>
      </c>
      <c r="T26" s="241">
        <v>1</v>
      </c>
      <c r="U26" s="241">
        <v>15</v>
      </c>
      <c r="AB26" s="241">
        <v>18</v>
      </c>
      <c r="AC26" s="241">
        <f>'it data'!C63</f>
        <v>10900</v>
      </c>
      <c r="AD26" s="241">
        <v>5895</v>
      </c>
      <c r="AE26" s="241">
        <v>6040</v>
      </c>
      <c r="AF26" s="241">
        <f t="shared" si="0"/>
        <v>10900</v>
      </c>
      <c r="AG26" s="241">
        <f t="shared" si="1"/>
        <v>11200</v>
      </c>
      <c r="AH26" s="241">
        <f t="shared" si="2"/>
        <v>11530</v>
      </c>
      <c r="AN26" s="279"/>
      <c r="AO26" s="279"/>
      <c r="AP26" s="279"/>
      <c r="AQ26" s="279"/>
      <c r="AR26" s="260"/>
      <c r="AS26" s="260"/>
      <c r="AT26" s="260"/>
      <c r="AU26" s="262"/>
      <c r="AV26" s="260"/>
      <c r="AW26" s="260">
        <f t="shared" si="3"/>
        <v>0</v>
      </c>
      <c r="AX26" s="279">
        <f t="shared" si="3"/>
        <v>0</v>
      </c>
      <c r="AY26" s="279"/>
      <c r="AZ26" s="260"/>
      <c r="BA26" s="279"/>
      <c r="BB26" s="279"/>
      <c r="BD26" s="258"/>
    </row>
    <row r="27" spans="1:56" ht="24" customHeight="1">
      <c r="A27" s="280"/>
      <c r="B27" s="281"/>
      <c r="C27" s="267"/>
      <c r="D27" s="252"/>
      <c r="E27" s="252" t="s">
        <v>275</v>
      </c>
      <c r="F27" s="252"/>
      <c r="G27" s="252"/>
      <c r="H27" s="252"/>
      <c r="L27" s="245">
        <v>27</v>
      </c>
      <c r="P27" s="241" t="s">
        <v>276</v>
      </c>
      <c r="Q27" s="241">
        <v>1</v>
      </c>
      <c r="R27" s="241" t="str">
        <f>VLOOKUP(Q27,Q29:R31,2,0)</f>
        <v>Sri.</v>
      </c>
      <c r="T27" s="241">
        <v>2</v>
      </c>
      <c r="U27" s="241">
        <v>30</v>
      </c>
      <c r="AB27" s="241">
        <v>19</v>
      </c>
      <c r="AC27" s="241">
        <f>'it data'!C64</f>
        <v>11200</v>
      </c>
      <c r="AD27" s="241">
        <v>6040</v>
      </c>
      <c r="AE27" s="241">
        <v>6195</v>
      </c>
      <c r="AF27" s="241">
        <f t="shared" si="0"/>
        <v>11200</v>
      </c>
      <c r="AG27" s="241">
        <f t="shared" si="1"/>
        <v>11530</v>
      </c>
      <c r="AH27" s="241">
        <f t="shared" si="2"/>
        <v>11860</v>
      </c>
      <c r="AN27" s="279"/>
      <c r="AO27" s="279"/>
      <c r="AP27" s="279"/>
      <c r="AQ27" s="279"/>
      <c r="AR27" s="260"/>
      <c r="AS27" s="260"/>
      <c r="AT27" s="260"/>
      <c r="AU27" s="262"/>
      <c r="AV27" s="260"/>
      <c r="AW27" s="260">
        <f t="shared" si="3"/>
        <v>0</v>
      </c>
      <c r="AX27" s="279">
        <f t="shared" si="3"/>
        <v>0</v>
      </c>
      <c r="AY27" s="279"/>
      <c r="AZ27" s="260"/>
      <c r="BA27" s="279"/>
      <c r="BB27" s="279"/>
      <c r="BD27" s="258"/>
    </row>
    <row r="28" spans="1:56" ht="30.75" customHeight="1">
      <c r="A28" s="280"/>
      <c r="B28" s="281"/>
      <c r="C28" s="267"/>
      <c r="D28" s="252"/>
      <c r="E28" s="252" t="s">
        <v>277</v>
      </c>
      <c r="F28" s="252"/>
      <c r="G28" s="252"/>
      <c r="H28" s="252"/>
      <c r="L28" s="245">
        <v>28</v>
      </c>
      <c r="Q28" s="241">
        <v>1</v>
      </c>
      <c r="R28" s="241" t="str">
        <f>VLOOKUP(Q28,Q29:R31,2,0)</f>
        <v>Sri.</v>
      </c>
      <c r="T28" s="241">
        <v>3</v>
      </c>
      <c r="U28" s="241">
        <v>60</v>
      </c>
      <c r="AB28" s="241">
        <v>20</v>
      </c>
      <c r="AC28" s="241">
        <f>'it data'!C65</f>
        <v>11530</v>
      </c>
      <c r="AD28" s="241">
        <v>6195</v>
      </c>
      <c r="AE28" s="241">
        <v>6350</v>
      </c>
      <c r="AF28" s="241">
        <f t="shared" si="0"/>
        <v>11530</v>
      </c>
      <c r="AG28" s="241">
        <f t="shared" si="1"/>
        <v>11860</v>
      </c>
      <c r="AH28" s="241">
        <f t="shared" si="2"/>
        <v>12190</v>
      </c>
      <c r="AN28" s="279"/>
      <c r="AO28" s="279"/>
      <c r="AP28" s="279"/>
      <c r="AQ28" s="279"/>
      <c r="AR28" s="260"/>
      <c r="AS28" s="260"/>
      <c r="AT28" s="260"/>
      <c r="AU28" s="262"/>
      <c r="AV28" s="260"/>
      <c r="AW28" s="260">
        <f t="shared" si="3"/>
        <v>0</v>
      </c>
      <c r="AX28" s="279">
        <f t="shared" si="3"/>
        <v>0</v>
      </c>
      <c r="AY28" s="279"/>
      <c r="AZ28" s="260"/>
      <c r="BA28" s="279"/>
      <c r="BB28" s="279"/>
      <c r="BD28" s="258"/>
    </row>
    <row r="29" spans="1:77" ht="26.25" customHeight="1">
      <c r="A29" s="282"/>
      <c r="B29" s="281"/>
      <c r="C29" s="267"/>
      <c r="D29" s="252"/>
      <c r="E29" s="252"/>
      <c r="F29" s="252"/>
      <c r="G29" s="252"/>
      <c r="H29" s="252"/>
      <c r="L29" s="255">
        <v>29</v>
      </c>
      <c r="Q29" s="241">
        <v>1</v>
      </c>
      <c r="R29" s="241" t="s">
        <v>278</v>
      </c>
      <c r="T29" s="241">
        <v>4</v>
      </c>
      <c r="U29" s="241">
        <v>120</v>
      </c>
      <c r="AB29" s="241">
        <v>21</v>
      </c>
      <c r="AC29" s="241">
        <f>'it data'!C66</f>
        <v>11860</v>
      </c>
      <c r="AD29" s="241">
        <v>6350</v>
      </c>
      <c r="AE29" s="241">
        <v>6505</v>
      </c>
      <c r="AF29" s="241">
        <f t="shared" si="0"/>
        <v>11860</v>
      </c>
      <c r="AG29" s="241">
        <f t="shared" si="1"/>
        <v>12190</v>
      </c>
      <c r="AH29" s="241">
        <f t="shared" si="2"/>
        <v>12550</v>
      </c>
      <c r="AN29" s="279"/>
      <c r="AO29" s="279"/>
      <c r="AP29" s="279"/>
      <c r="AQ29" s="279"/>
      <c r="AR29" s="260"/>
      <c r="AS29" s="260"/>
      <c r="AT29" s="260"/>
      <c r="AU29" s="262"/>
      <c r="AV29" s="260"/>
      <c r="AW29" s="260">
        <f t="shared" si="3"/>
        <v>0</v>
      </c>
      <c r="AX29" s="279">
        <f t="shared" si="3"/>
        <v>0</v>
      </c>
      <c r="AY29" s="279"/>
      <c r="AZ29" s="260"/>
      <c r="BA29" s="279"/>
      <c r="BB29" s="279"/>
      <c r="BD29" s="258"/>
      <c r="BT29" s="241" t="s">
        <v>279</v>
      </c>
      <c r="BV29" s="241" t="s">
        <v>280</v>
      </c>
      <c r="BX29" s="241" t="s">
        <v>281</v>
      </c>
      <c r="BY29" s="241">
        <f>IF(Q34=3,BQ30,0)</f>
        <v>0</v>
      </c>
    </row>
    <row r="30" spans="1:78" ht="21" customHeight="1">
      <c r="A30" s="283"/>
      <c r="B30" s="242"/>
      <c r="C30" s="267"/>
      <c r="D30" s="252"/>
      <c r="E30" s="252"/>
      <c r="F30" s="252"/>
      <c r="G30" s="252"/>
      <c r="L30" s="245">
        <v>30</v>
      </c>
      <c r="Q30" s="241">
        <v>2</v>
      </c>
      <c r="R30" s="241" t="s">
        <v>282</v>
      </c>
      <c r="AB30" s="241">
        <v>22</v>
      </c>
      <c r="AC30" s="241">
        <f>'it data'!C67</f>
        <v>12190</v>
      </c>
      <c r="AD30" s="241">
        <v>6505</v>
      </c>
      <c r="AE30" s="241">
        <v>6675</v>
      </c>
      <c r="AF30" s="241">
        <f t="shared" si="0"/>
        <v>12190</v>
      </c>
      <c r="AG30" s="241">
        <f t="shared" si="1"/>
        <v>12550</v>
      </c>
      <c r="AH30" s="241">
        <f t="shared" si="2"/>
        <v>12910</v>
      </c>
      <c r="AN30" s="279"/>
      <c r="AO30" s="279"/>
      <c r="AP30" s="279"/>
      <c r="AQ30" s="279"/>
      <c r="AR30" s="260"/>
      <c r="AS30" s="260"/>
      <c r="AT30" s="260"/>
      <c r="AU30" s="262"/>
      <c r="AV30" s="260"/>
      <c r="AW30" s="260">
        <f t="shared" si="3"/>
        <v>0</v>
      </c>
      <c r="AX30" s="279">
        <f t="shared" si="3"/>
        <v>0</v>
      </c>
      <c r="AY30" s="279"/>
      <c r="AZ30" s="260"/>
      <c r="BA30" s="279"/>
      <c r="BB30" s="279"/>
      <c r="BD30" s="258"/>
      <c r="BN30" s="241" t="s">
        <v>100</v>
      </c>
      <c r="BO30" s="241" t="s">
        <v>283</v>
      </c>
      <c r="BP30" s="258">
        <f>$BP$34</f>
        <v>150000</v>
      </c>
      <c r="BQ30" s="241">
        <f>'ITAnnexure-I'!N24</f>
        <v>10797</v>
      </c>
      <c r="BR30" s="258">
        <f>Sheet2!E49</f>
        <v>100000</v>
      </c>
      <c r="BS30" s="284" t="s">
        <v>283</v>
      </c>
      <c r="BV30" s="258">
        <f>IF(Q34=3,0,MIN(BP30:BQ30))</f>
        <v>10797</v>
      </c>
      <c r="BX30" s="241">
        <f>IF(Q34=3,MIN(BQ30:BR30),0)</f>
        <v>0</v>
      </c>
      <c r="BZ30" s="258">
        <f>MAX(BV30,BX30)</f>
        <v>10797</v>
      </c>
    </row>
    <row r="31" spans="1:74" ht="21.75" customHeight="1">
      <c r="A31" s="278"/>
      <c r="B31" s="250"/>
      <c r="C31" s="267"/>
      <c r="D31" s="252"/>
      <c r="E31" s="252"/>
      <c r="F31" s="252"/>
      <c r="G31" s="252"/>
      <c r="L31" s="255">
        <v>31</v>
      </c>
      <c r="Q31" s="241">
        <v>3</v>
      </c>
      <c r="R31" s="241" t="s">
        <v>284</v>
      </c>
      <c r="AB31" s="241">
        <v>23</v>
      </c>
      <c r="AC31" s="241">
        <f>'it data'!C68</f>
        <v>12550</v>
      </c>
      <c r="AD31" s="241">
        <v>6675</v>
      </c>
      <c r="AE31" s="241">
        <v>6845</v>
      </c>
      <c r="AF31" s="241">
        <f t="shared" si="0"/>
        <v>12550</v>
      </c>
      <c r="AG31" s="241">
        <f t="shared" si="1"/>
        <v>12910</v>
      </c>
      <c r="AH31" s="241">
        <f t="shared" si="2"/>
        <v>13270</v>
      </c>
      <c r="AN31" s="285"/>
      <c r="AO31" s="286"/>
      <c r="AP31" s="286"/>
      <c r="AQ31" s="279"/>
      <c r="AR31" s="260"/>
      <c r="AS31" s="260"/>
      <c r="AT31" s="260"/>
      <c r="AU31" s="262"/>
      <c r="AV31" s="260"/>
      <c r="AW31" s="260">
        <f t="shared" si="3"/>
        <v>0</v>
      </c>
      <c r="AX31" s="279">
        <f t="shared" si="3"/>
        <v>0</v>
      </c>
      <c r="AY31" s="279"/>
      <c r="AZ31" s="260"/>
      <c r="BA31" s="279"/>
      <c r="BB31" s="279"/>
      <c r="BD31" s="258"/>
      <c r="BN31" s="241" t="s">
        <v>100</v>
      </c>
      <c r="BO31" s="241" t="s">
        <v>285</v>
      </c>
      <c r="BP31" s="258">
        <f>$BP$34</f>
        <v>150000</v>
      </c>
      <c r="BQ31" s="241">
        <f>'ITAnnexure-I'!O24</f>
        <v>0</v>
      </c>
      <c r="BS31" s="284" t="s">
        <v>285</v>
      </c>
      <c r="BV31" s="258">
        <f>MIN(BP31:BQ31)</f>
        <v>0</v>
      </c>
    </row>
    <row r="32" spans="1:74" ht="22.5" customHeight="1">
      <c r="A32" s="278"/>
      <c r="B32" s="250"/>
      <c r="C32" s="267"/>
      <c r="D32" s="252"/>
      <c r="E32" s="252"/>
      <c r="F32" s="252"/>
      <c r="G32" s="252"/>
      <c r="AB32" s="241">
        <v>24</v>
      </c>
      <c r="AC32" s="241">
        <f>'it data'!C69</f>
        <v>12910</v>
      </c>
      <c r="AD32" s="241">
        <v>6845</v>
      </c>
      <c r="AE32" s="241">
        <v>7015</v>
      </c>
      <c r="AF32" s="241">
        <f t="shared" si="0"/>
        <v>12910</v>
      </c>
      <c r="AG32" s="241">
        <f t="shared" si="1"/>
        <v>13270</v>
      </c>
      <c r="AH32" s="241">
        <f t="shared" si="2"/>
        <v>13660</v>
      </c>
      <c r="AN32" s="279"/>
      <c r="AO32" s="286"/>
      <c r="AP32" s="286"/>
      <c r="AQ32" s="279"/>
      <c r="AR32" s="287"/>
      <c r="AS32" s="288"/>
      <c r="AT32" s="289"/>
      <c r="AU32" s="262"/>
      <c r="AV32" s="260"/>
      <c r="AW32" s="288">
        <f>SUM(AW21:AW31)</f>
        <v>0</v>
      </c>
      <c r="AX32" s="290">
        <f>SUM(AX25:AX31)</f>
        <v>0</v>
      </c>
      <c r="AY32" s="279"/>
      <c r="AZ32" s="279"/>
      <c r="BA32" s="279"/>
      <c r="BB32" s="279"/>
      <c r="BD32" s="258"/>
      <c r="BN32" s="241" t="s">
        <v>100</v>
      </c>
      <c r="BO32" s="241" t="s">
        <v>286</v>
      </c>
      <c r="BP32" s="258">
        <f>$BP$34</f>
        <v>150000</v>
      </c>
      <c r="BQ32" s="241">
        <f>'ITAnnexure-I'!P24</f>
        <v>0</v>
      </c>
      <c r="BS32" s="284" t="s">
        <v>286</v>
      </c>
      <c r="BV32" s="258">
        <f>MIN(BP32:BQ32)</f>
        <v>0</v>
      </c>
    </row>
    <row r="33" spans="1:76" ht="16.5" customHeight="1">
      <c r="A33" s="278"/>
      <c r="B33" s="250"/>
      <c r="C33" s="267"/>
      <c r="D33" s="252"/>
      <c r="E33" s="252"/>
      <c r="F33" s="252"/>
      <c r="G33" s="252"/>
      <c r="AB33" s="241">
        <v>25</v>
      </c>
      <c r="AC33" s="241">
        <f>'it data'!C70</f>
        <v>13270</v>
      </c>
      <c r="AD33" s="241">
        <v>7015</v>
      </c>
      <c r="AE33" s="241">
        <v>7200</v>
      </c>
      <c r="AF33" s="241">
        <f t="shared" si="0"/>
        <v>13270</v>
      </c>
      <c r="AG33" s="241">
        <f t="shared" si="1"/>
        <v>13660</v>
      </c>
      <c r="AH33" s="241">
        <f t="shared" si="2"/>
        <v>14050</v>
      </c>
      <c r="AN33" s="279"/>
      <c r="AO33" s="279"/>
      <c r="AP33" s="279"/>
      <c r="AQ33" s="279"/>
      <c r="AR33" s="262"/>
      <c r="AS33" s="262"/>
      <c r="AT33" s="279"/>
      <c r="AU33" s="262"/>
      <c r="AV33" s="260"/>
      <c r="AW33" s="262">
        <f>MIN(AW32,AN34)</f>
        <v>0</v>
      </c>
      <c r="AX33" s="286">
        <f>MIN(AP34,AX32)</f>
        <v>0</v>
      </c>
      <c r="AY33" s="279"/>
      <c r="AZ33" s="260"/>
      <c r="BA33" s="279"/>
      <c r="BB33" s="291"/>
      <c r="BE33" s="291"/>
      <c r="BN33" s="241" t="s">
        <v>100</v>
      </c>
      <c r="BO33" s="241" t="s">
        <v>287</v>
      </c>
      <c r="BP33" s="258">
        <f>$BP$34</f>
        <v>150000</v>
      </c>
      <c r="BQ33" s="241">
        <f>'ITAnnexure-I'!S24</f>
        <v>0</v>
      </c>
      <c r="BS33" s="284" t="s">
        <v>287</v>
      </c>
      <c r="BV33" s="258">
        <f>MIN(BP33:BQ33)</f>
        <v>0</v>
      </c>
      <c r="BW33" s="241" t="s">
        <v>104</v>
      </c>
      <c r="BX33" s="241" t="s">
        <v>113</v>
      </c>
    </row>
    <row r="34" spans="1:77" ht="33" customHeight="1">
      <c r="A34" s="278"/>
      <c r="B34" s="250"/>
      <c r="C34" s="267"/>
      <c r="D34" s="252"/>
      <c r="E34" s="252"/>
      <c r="F34" s="252"/>
      <c r="G34" s="252"/>
      <c r="P34" s="241" t="str">
        <f>IF(Q34=3,"CPS/PRAN ",R34)</f>
        <v>ZP GPF</v>
      </c>
      <c r="Q34" s="241">
        <v>2</v>
      </c>
      <c r="R34" s="241" t="str">
        <f>VLOOKUP(Q34,Q35:R37,2,0)</f>
        <v>ZP GPF</v>
      </c>
      <c r="T34" s="241" t="str">
        <f>" "&amp;(R34)&amp;"  A/c No"</f>
        <v> ZP GPF  A/c No</v>
      </c>
      <c r="AB34" s="241">
        <v>26</v>
      </c>
      <c r="AC34" s="241">
        <f>'it data'!C71</f>
        <v>13660</v>
      </c>
      <c r="AD34" s="241">
        <v>7200</v>
      </c>
      <c r="AE34" s="241">
        <v>7385</v>
      </c>
      <c r="AF34" s="241">
        <f t="shared" si="0"/>
        <v>13660</v>
      </c>
      <c r="AG34" s="241">
        <f t="shared" si="1"/>
        <v>14050</v>
      </c>
      <c r="AH34" s="241">
        <f t="shared" si="2"/>
        <v>14440</v>
      </c>
      <c r="AN34" s="292"/>
      <c r="AO34" s="286"/>
      <c r="AP34" s="262"/>
      <c r="AQ34" s="279"/>
      <c r="AR34" s="260"/>
      <c r="AS34" s="260"/>
      <c r="AT34" s="293"/>
      <c r="AU34" s="294"/>
      <c r="AV34" s="260"/>
      <c r="AW34" s="260"/>
      <c r="AX34" s="286">
        <f>SUM(AW33,AX33)</f>
        <v>0</v>
      </c>
      <c r="AY34" s="279"/>
      <c r="AZ34" s="260"/>
      <c r="BA34" s="291"/>
      <c r="BB34" s="295"/>
      <c r="BK34" s="241">
        <v>1</v>
      </c>
      <c r="BL34" s="241">
        <v>1</v>
      </c>
      <c r="BN34" s="241" t="s">
        <v>100</v>
      </c>
      <c r="BO34" s="241" t="s">
        <v>288</v>
      </c>
      <c r="BP34" s="258">
        <f>Sheet2!E46</f>
        <v>150000</v>
      </c>
      <c r="BQ34" s="241">
        <v>1</v>
      </c>
      <c r="BR34" s="241">
        <f>VLOOKUP(BS34,BO34:BQ51,3,0)</f>
        <v>1</v>
      </c>
      <c r="BS34" s="241" t="str">
        <f>VLOOKUP(BK34,BL34:BP51,4)</f>
        <v>Children Tution Fee </v>
      </c>
      <c r="BT34" s="241">
        <f>VLOOKUP(BK34,BL34:BP51,5)</f>
        <v>150000</v>
      </c>
      <c r="BU34" s="258">
        <f>'it data'!$J$16</f>
        <v>0</v>
      </c>
      <c r="BV34" s="241">
        <f aca="true" t="shared" si="4" ref="BV34:BV40">IF(OR(BR34=18,BR34=17),0,MIN(BT34:BU34))</f>
        <v>0</v>
      </c>
      <c r="BW34" s="241">
        <f>IF(BR34=18,ROUND(MIN(BT34:BU34)/2,0),0)</f>
        <v>0</v>
      </c>
      <c r="BX34" s="241">
        <f aca="true" t="shared" si="5" ref="BX34:BX40">IF(BR34=17,ROUND(MIN(BT34:BU34),0),0)</f>
        <v>0</v>
      </c>
      <c r="BY34" s="241">
        <f aca="true" t="shared" si="6" ref="BY34:BY40">IF(BR34=18,ROUND(MIN(BT34:BU34)/2,0),MIN(BT34:BU34))</f>
        <v>0</v>
      </c>
    </row>
    <row r="35" spans="1:77" ht="21.75" customHeight="1">
      <c r="A35" s="278"/>
      <c r="B35" s="250"/>
      <c r="C35" s="267"/>
      <c r="D35" s="252"/>
      <c r="E35" s="252"/>
      <c r="F35" s="252"/>
      <c r="G35" s="252"/>
      <c r="Q35" s="241">
        <v>1</v>
      </c>
      <c r="R35" s="241" t="s">
        <v>289</v>
      </c>
      <c r="AB35" s="241">
        <v>27</v>
      </c>
      <c r="AC35" s="241">
        <f>'it data'!C72</f>
        <v>14050</v>
      </c>
      <c r="AD35" s="241">
        <v>7385</v>
      </c>
      <c r="AE35" s="241">
        <v>7570</v>
      </c>
      <c r="AF35" s="241">
        <f t="shared" si="0"/>
        <v>14050</v>
      </c>
      <c r="AG35" s="241">
        <f t="shared" si="1"/>
        <v>14440</v>
      </c>
      <c r="AH35" s="241">
        <f t="shared" si="2"/>
        <v>14860</v>
      </c>
      <c r="AN35" s="279"/>
      <c r="AO35" s="279"/>
      <c r="AP35" s="279"/>
      <c r="AQ35" s="279"/>
      <c r="AR35" s="296"/>
      <c r="AS35" s="296"/>
      <c r="AT35" s="260"/>
      <c r="AU35" s="260"/>
      <c r="AV35" s="260"/>
      <c r="AW35" s="260"/>
      <c r="AX35" s="262"/>
      <c r="AY35" s="260"/>
      <c r="AZ35" s="279"/>
      <c r="BA35" s="279"/>
      <c r="BB35" s="253"/>
      <c r="BK35" s="241">
        <v>2</v>
      </c>
      <c r="BL35" s="241">
        <v>2</v>
      </c>
      <c r="BN35" s="241" t="s">
        <v>100</v>
      </c>
      <c r="BO35" s="241" t="s">
        <v>290</v>
      </c>
      <c r="BP35" s="258">
        <f aca="true" t="shared" si="7" ref="BP35:BP49">$BP$34</f>
        <v>150000</v>
      </c>
      <c r="BQ35" s="241">
        <v>2</v>
      </c>
      <c r="BR35" s="241">
        <f>VLOOKUP(BS35,BO34:BQ51,3,0)</f>
        <v>2</v>
      </c>
      <c r="BS35" s="241" t="str">
        <f>VLOOKUP(BK35,BL34:BP51,4)</f>
        <v>Repayement of Home Loan Premium</v>
      </c>
      <c r="BT35" s="241">
        <f>VLOOKUP(BK35,BL34:BP51,5)</f>
        <v>150000</v>
      </c>
      <c r="BU35" s="258">
        <f>'it data'!$J$17</f>
        <v>0</v>
      </c>
      <c r="BV35" s="241">
        <f t="shared" si="4"/>
        <v>0</v>
      </c>
      <c r="BW35" s="241">
        <f aca="true" t="shared" si="8" ref="BW35:BW40">IF(BR35=18,ROUND(MIN(BT35:BU35)/2,0),0)</f>
        <v>0</v>
      </c>
      <c r="BX35" s="241">
        <f t="shared" si="5"/>
        <v>0</v>
      </c>
      <c r="BY35" s="241">
        <f t="shared" si="6"/>
        <v>0</v>
      </c>
    </row>
    <row r="36" spans="1:77" ht="30.75" customHeight="1">
      <c r="A36" s="278"/>
      <c r="B36" s="250"/>
      <c r="C36" s="267"/>
      <c r="D36" s="252"/>
      <c r="E36" s="252"/>
      <c r="F36" s="252">
        <v>2</v>
      </c>
      <c r="G36" s="252"/>
      <c r="Q36" s="241">
        <v>2</v>
      </c>
      <c r="R36" s="241" t="s">
        <v>291</v>
      </c>
      <c r="U36" s="241" t="str">
        <f>IF(Q34=1,R35,R36)</f>
        <v>ZP GPF</v>
      </c>
      <c r="AB36" s="241">
        <v>28</v>
      </c>
      <c r="AC36" s="241">
        <f>'it data'!C73</f>
        <v>14440</v>
      </c>
      <c r="AD36" s="241">
        <v>7570</v>
      </c>
      <c r="AE36" s="241">
        <v>7770</v>
      </c>
      <c r="AF36" s="241">
        <f t="shared" si="0"/>
        <v>14440</v>
      </c>
      <c r="AG36" s="241">
        <f t="shared" si="1"/>
        <v>14860</v>
      </c>
      <c r="AH36" s="241">
        <f t="shared" si="2"/>
        <v>15280</v>
      </c>
      <c r="AN36" s="279"/>
      <c r="AO36" s="279"/>
      <c r="AP36" s="279"/>
      <c r="AQ36" s="279"/>
      <c r="AR36" s="297"/>
      <c r="AS36" s="297"/>
      <c r="AT36" s="260"/>
      <c r="AU36" s="262"/>
      <c r="AV36" s="260"/>
      <c r="AW36" s="298"/>
      <c r="AX36" s="260"/>
      <c r="AY36" s="260"/>
      <c r="AZ36" s="260"/>
      <c r="BA36" s="279"/>
      <c r="BB36" s="279"/>
      <c r="BK36" s="241">
        <v>4</v>
      </c>
      <c r="BL36" s="241">
        <v>3</v>
      </c>
      <c r="BN36" s="241" t="s">
        <v>100</v>
      </c>
      <c r="BO36" s="241" t="s">
        <v>292</v>
      </c>
      <c r="BP36" s="258">
        <f t="shared" si="7"/>
        <v>150000</v>
      </c>
      <c r="BQ36" s="241">
        <v>3</v>
      </c>
      <c r="BR36" s="241">
        <f>VLOOKUP(BS36,BO34:BQ51,3,0)</f>
        <v>4</v>
      </c>
      <c r="BS36" s="241" t="str">
        <f>VLOOKUP(BK36,BL34:BP51,4)</f>
        <v>LIC Annual Premiums Paid by Hand</v>
      </c>
      <c r="BT36" s="241">
        <f>VLOOKUP(BK36,BL34:BP51,5)</f>
        <v>150000</v>
      </c>
      <c r="BU36" s="258">
        <f>'it data'!$J$18</f>
        <v>0</v>
      </c>
      <c r="BV36" s="241">
        <f t="shared" si="4"/>
        <v>0</v>
      </c>
      <c r="BW36" s="241">
        <f t="shared" si="8"/>
        <v>0</v>
      </c>
      <c r="BX36" s="241">
        <f t="shared" si="5"/>
        <v>0</v>
      </c>
      <c r="BY36" s="241">
        <f t="shared" si="6"/>
        <v>0</v>
      </c>
    </row>
    <row r="37" spans="1:77" ht="27" customHeight="1">
      <c r="A37" s="252"/>
      <c r="B37" s="252"/>
      <c r="C37" s="252"/>
      <c r="D37" s="252"/>
      <c r="E37" s="252"/>
      <c r="F37" s="252" t="s">
        <v>293</v>
      </c>
      <c r="G37" s="252"/>
      <c r="Q37" s="241">
        <v>3</v>
      </c>
      <c r="R37" s="241" t="s">
        <v>281</v>
      </c>
      <c r="AB37" s="241">
        <v>29</v>
      </c>
      <c r="AC37" s="241">
        <f>'it data'!C74</f>
        <v>14860</v>
      </c>
      <c r="AD37" s="241">
        <v>7770</v>
      </c>
      <c r="AE37" s="241">
        <v>7970</v>
      </c>
      <c r="AF37" s="241">
        <f t="shared" si="0"/>
        <v>14860</v>
      </c>
      <c r="AG37" s="241">
        <f t="shared" si="1"/>
        <v>15280</v>
      </c>
      <c r="AH37" s="241">
        <f t="shared" si="2"/>
        <v>15700</v>
      </c>
      <c r="AN37" s="279"/>
      <c r="AO37" s="279"/>
      <c r="AP37" s="279"/>
      <c r="AQ37" s="279"/>
      <c r="AR37" s="296"/>
      <c r="AS37" s="296"/>
      <c r="AT37" s="260"/>
      <c r="AU37" s="260"/>
      <c r="AV37" s="260" t="s">
        <v>294</v>
      </c>
      <c r="AW37" s="299"/>
      <c r="AX37" s="289">
        <f>AT34</f>
        <v>0</v>
      </c>
      <c r="AY37" s="260"/>
      <c r="AZ37" s="260"/>
      <c r="BA37" s="279"/>
      <c r="BB37" s="279"/>
      <c r="BK37" s="241">
        <v>12</v>
      </c>
      <c r="BL37" s="241">
        <v>4</v>
      </c>
      <c r="BN37" s="241" t="s">
        <v>100</v>
      </c>
      <c r="BO37" s="241" t="s">
        <v>295</v>
      </c>
      <c r="BP37" s="258">
        <f t="shared" si="7"/>
        <v>150000</v>
      </c>
      <c r="BQ37" s="241">
        <v>4</v>
      </c>
      <c r="BR37" s="241">
        <f>VLOOKUP(BS37,BO34:BQ51,3,0)</f>
        <v>12</v>
      </c>
      <c r="BS37" s="241" t="str">
        <f>VLOOKUP(BK37,BL34:BP51,4)</f>
        <v>SBI Life insurance</v>
      </c>
      <c r="BT37" s="241">
        <f>VLOOKUP(BK37,BL34:BP51,5)</f>
        <v>150000</v>
      </c>
      <c r="BU37" s="258">
        <f>'it data'!$J$19</f>
        <v>0</v>
      </c>
      <c r="BV37" s="241">
        <f t="shared" si="4"/>
        <v>0</v>
      </c>
      <c r="BW37" s="241">
        <f t="shared" si="8"/>
        <v>0</v>
      </c>
      <c r="BX37" s="241">
        <f t="shared" si="5"/>
        <v>0</v>
      </c>
      <c r="BY37" s="241">
        <f t="shared" si="6"/>
        <v>0</v>
      </c>
    </row>
    <row r="38" spans="1:77" ht="15">
      <c r="A38" s="252"/>
      <c r="B38" s="252"/>
      <c r="C38" s="252"/>
      <c r="D38" s="252"/>
      <c r="E38" s="252"/>
      <c r="F38" s="252" t="s">
        <v>296</v>
      </c>
      <c r="G38" s="252"/>
      <c r="AB38" s="241">
        <v>30</v>
      </c>
      <c r="AC38" s="241">
        <f>'it data'!C75</f>
        <v>15280</v>
      </c>
      <c r="AD38" s="241">
        <v>7970</v>
      </c>
      <c r="AE38" s="241">
        <v>8170</v>
      </c>
      <c r="AF38" s="241">
        <f t="shared" si="0"/>
        <v>15280</v>
      </c>
      <c r="AG38" s="241">
        <f t="shared" si="1"/>
        <v>15700</v>
      </c>
      <c r="AH38" s="241">
        <f t="shared" si="2"/>
        <v>16150</v>
      </c>
      <c r="AR38" s="265"/>
      <c r="AS38" s="265"/>
      <c r="AT38" s="260"/>
      <c r="AU38" s="262"/>
      <c r="AV38" s="260"/>
      <c r="AW38" s="300"/>
      <c r="AX38" s="260"/>
      <c r="AY38" s="260"/>
      <c r="AZ38" s="260"/>
      <c r="BK38" s="241">
        <v>8</v>
      </c>
      <c r="BL38" s="241">
        <v>5</v>
      </c>
      <c r="BN38" s="241" t="s">
        <v>100</v>
      </c>
      <c r="BO38" s="241" t="s">
        <v>297</v>
      </c>
      <c r="BP38" s="258">
        <f t="shared" si="7"/>
        <v>150000</v>
      </c>
      <c r="BQ38" s="241">
        <v>5</v>
      </c>
      <c r="BR38" s="241">
        <f>VLOOKUP(BS38,BO34:BQ51,3,0)</f>
        <v>8</v>
      </c>
      <c r="BS38" s="241" t="str">
        <f>VLOOKUP(BK38,BL34:BP51,4)</f>
        <v>Public Provident Fund</v>
      </c>
      <c r="BT38" s="241">
        <f>VLOOKUP(BK38,BL34:BP51,5)</f>
        <v>150000</v>
      </c>
      <c r="BU38" s="258">
        <f>'it data'!$J$20</f>
        <v>0</v>
      </c>
      <c r="BV38" s="241">
        <f t="shared" si="4"/>
        <v>0</v>
      </c>
      <c r="BW38" s="241">
        <f t="shared" si="8"/>
        <v>0</v>
      </c>
      <c r="BX38" s="241">
        <f t="shared" si="5"/>
        <v>0</v>
      </c>
      <c r="BY38" s="241">
        <f t="shared" si="6"/>
        <v>0</v>
      </c>
    </row>
    <row r="39" spans="28:77" ht="15.75">
      <c r="AB39" s="241">
        <v>31</v>
      </c>
      <c r="AC39" s="241">
        <f>'it data'!C76</f>
        <v>15700</v>
      </c>
      <c r="AD39" s="241">
        <v>8170</v>
      </c>
      <c r="AE39" s="241">
        <v>8385</v>
      </c>
      <c r="AF39" s="241">
        <f t="shared" si="0"/>
        <v>15700</v>
      </c>
      <c r="AG39" s="241">
        <f t="shared" si="1"/>
        <v>16150</v>
      </c>
      <c r="AH39" s="241">
        <f t="shared" si="2"/>
        <v>16600</v>
      </c>
      <c r="AR39" s="265"/>
      <c r="AS39" s="265"/>
      <c r="AT39" s="300"/>
      <c r="AU39" s="300"/>
      <c r="AV39" s="260"/>
      <c r="AW39" s="301"/>
      <c r="AX39" s="260"/>
      <c r="AY39" s="260"/>
      <c r="AZ39" s="260"/>
      <c r="BK39" s="241">
        <v>18</v>
      </c>
      <c r="BL39" s="241">
        <v>6</v>
      </c>
      <c r="BN39" s="241" t="s">
        <v>100</v>
      </c>
      <c r="BO39" s="241" t="s">
        <v>298</v>
      </c>
      <c r="BP39" s="258">
        <f t="shared" si="7"/>
        <v>150000</v>
      </c>
      <c r="BQ39" s="241">
        <v>6</v>
      </c>
      <c r="BR39" s="241">
        <f>VLOOKUP(BS39,BO34:BQ51,3,0)</f>
        <v>18</v>
      </c>
      <c r="BS39" s="241" t="str">
        <f>VLOOKUP(BK39,BL34:BP51,4)</f>
        <v>Rajiv Gandhi Equity Savings Scheme-80CCG</v>
      </c>
      <c r="BT39" s="241">
        <f>VLOOKUP(BK39,BL34:BP51,5)</f>
        <v>50000</v>
      </c>
      <c r="BU39" s="258">
        <f>'it data'!$J$21</f>
        <v>0</v>
      </c>
      <c r="BV39" s="241">
        <f t="shared" si="4"/>
        <v>0</v>
      </c>
      <c r="BW39" s="241">
        <f>IF(BR39=18,ROUND(MIN(BT39:BU39)/2,0),0)</f>
        <v>0</v>
      </c>
      <c r="BX39" s="241">
        <f t="shared" si="5"/>
        <v>0</v>
      </c>
      <c r="BY39" s="241">
        <f t="shared" si="6"/>
        <v>0</v>
      </c>
    </row>
    <row r="40" spans="13:77" ht="15">
      <c r="M40" s="241">
        <v>1</v>
      </c>
      <c r="O40" s="241">
        <f>VLOOKUP(M40,L41:N44,3,0)</f>
        <v>0</v>
      </c>
      <c r="S40" s="241">
        <v>1</v>
      </c>
      <c r="T40" s="241">
        <f>VLOOKUP(S40,R41:T44,3,0)</f>
        <v>0</v>
      </c>
      <c r="AB40" s="241">
        <v>32</v>
      </c>
      <c r="AC40" s="241">
        <f>'it data'!C77</f>
        <v>16150</v>
      </c>
      <c r="AD40" s="241">
        <v>8385</v>
      </c>
      <c r="AE40" s="241">
        <v>8600</v>
      </c>
      <c r="AF40" s="241">
        <f t="shared" si="0"/>
        <v>16150</v>
      </c>
      <c r="AG40" s="241">
        <f t="shared" si="1"/>
        <v>16600</v>
      </c>
      <c r="AH40" s="241">
        <f t="shared" si="2"/>
        <v>17050</v>
      </c>
      <c r="AR40" s="302"/>
      <c r="AS40" s="302"/>
      <c r="AT40" s="260"/>
      <c r="AU40" s="260"/>
      <c r="AV40" s="260"/>
      <c r="AW40" s="300"/>
      <c r="AX40" s="260"/>
      <c r="AY40" s="260"/>
      <c r="AZ40" s="260"/>
      <c r="BK40" s="241">
        <v>17</v>
      </c>
      <c r="BL40" s="241">
        <v>7</v>
      </c>
      <c r="BN40" s="241" t="s">
        <v>100</v>
      </c>
      <c r="BO40" s="241" t="s">
        <v>299</v>
      </c>
      <c r="BP40" s="258">
        <f t="shared" si="7"/>
        <v>150000</v>
      </c>
      <c r="BQ40" s="241">
        <v>7</v>
      </c>
      <c r="BR40" s="241">
        <f>VLOOKUP(BS40,BO34:BQ51,3,0)</f>
        <v>17</v>
      </c>
      <c r="BS40" s="241" t="str">
        <f>VLOOKUP(BK40,BL34:BP51,4)</f>
        <v>Interest on Savings account-80TTA</v>
      </c>
      <c r="BT40" s="241">
        <f>VLOOKUP(BK40,BL34:BP51,5)</f>
        <v>10000</v>
      </c>
      <c r="BU40" s="258">
        <f>'it data'!J22</f>
        <v>0</v>
      </c>
      <c r="BV40" s="241">
        <f t="shared" si="4"/>
        <v>0</v>
      </c>
      <c r="BW40" s="241">
        <f t="shared" si="8"/>
        <v>0</v>
      </c>
      <c r="BX40" s="241">
        <f t="shared" si="5"/>
        <v>0</v>
      </c>
      <c r="BY40" s="241">
        <f t="shared" si="6"/>
        <v>0</v>
      </c>
    </row>
    <row r="41" spans="6:76" ht="20.25" customHeight="1">
      <c r="F41" s="241">
        <v>1</v>
      </c>
      <c r="L41" s="241">
        <v>1</v>
      </c>
      <c r="M41" s="241" t="s">
        <v>300</v>
      </c>
      <c r="N41" s="241">
        <v>0</v>
      </c>
      <c r="P41" s="241">
        <f>IF(O43=1,"",0)</f>
      </c>
      <c r="R41" s="241">
        <v>1</v>
      </c>
      <c r="S41" s="241" t="s">
        <v>300</v>
      </c>
      <c r="T41" s="241">
        <v>0</v>
      </c>
      <c r="V41" s="241">
        <f>IF(U42=1,"",0)</f>
      </c>
      <c r="AB41" s="241">
        <v>33</v>
      </c>
      <c r="AC41" s="241">
        <f>'it data'!C78</f>
        <v>16600</v>
      </c>
      <c r="AD41" s="241">
        <v>8600</v>
      </c>
      <c r="AE41" s="241">
        <v>8815</v>
      </c>
      <c r="AF41" s="241">
        <f aca="true" t="shared" si="9" ref="AF41:AF72">AC41</f>
        <v>16600</v>
      </c>
      <c r="AG41" s="241">
        <f aca="true" t="shared" si="10" ref="AG41:AG72">AC42</f>
        <v>17050</v>
      </c>
      <c r="AH41" s="241">
        <f aca="true" t="shared" si="11" ref="AH41:AH72">AC43</f>
        <v>17540</v>
      </c>
      <c r="AR41" s="276"/>
      <c r="AS41" s="276"/>
      <c r="AT41" s="260"/>
      <c r="AU41" s="260"/>
      <c r="AV41" s="260"/>
      <c r="AW41" s="300"/>
      <c r="AX41" s="260"/>
      <c r="AY41" s="260"/>
      <c r="AZ41" s="260"/>
      <c r="BL41" s="241">
        <v>8</v>
      </c>
      <c r="BN41" s="241" t="s">
        <v>100</v>
      </c>
      <c r="BO41" s="241" t="s">
        <v>301</v>
      </c>
      <c r="BP41" s="258">
        <f t="shared" si="7"/>
        <v>150000</v>
      </c>
      <c r="BQ41" s="241">
        <v>8</v>
      </c>
      <c r="BX41" s="303">
        <f>MIN(SUM(BX34:BX40),BP50)</f>
        <v>0</v>
      </c>
    </row>
    <row r="42" spans="4:77" ht="15">
      <c r="D42" s="241">
        <v>1</v>
      </c>
      <c r="F42" s="304" t="s">
        <v>225</v>
      </c>
      <c r="L42" s="241">
        <v>2</v>
      </c>
      <c r="M42" s="241">
        <v>400</v>
      </c>
      <c r="N42" s="241">
        <v>400</v>
      </c>
      <c r="P42" s="241">
        <f>IF(O43=1,"",400)</f>
      </c>
      <c r="R42" s="241">
        <v>2</v>
      </c>
      <c r="S42" s="241">
        <v>50</v>
      </c>
      <c r="T42" s="241">
        <v>50</v>
      </c>
      <c r="U42" s="241">
        <v>1</v>
      </c>
      <c r="V42" s="241">
        <f>IF(U42=1,"",50)</f>
      </c>
      <c r="AB42" s="241">
        <v>34</v>
      </c>
      <c r="AC42" s="241">
        <f>'it data'!C79</f>
        <v>17050</v>
      </c>
      <c r="AD42" s="241">
        <v>8815</v>
      </c>
      <c r="AE42" s="241">
        <v>9050</v>
      </c>
      <c r="AF42" s="241">
        <f t="shared" si="9"/>
        <v>17050</v>
      </c>
      <c r="AG42" s="241">
        <f t="shared" si="10"/>
        <v>17540</v>
      </c>
      <c r="AH42" s="241">
        <f t="shared" si="11"/>
        <v>18030</v>
      </c>
      <c r="AR42" s="276"/>
      <c r="AS42" s="276"/>
      <c r="AT42" s="260"/>
      <c r="AU42" s="305"/>
      <c r="AV42" s="260"/>
      <c r="AW42" s="306"/>
      <c r="AX42" s="260"/>
      <c r="AY42" s="260"/>
      <c r="AZ42" s="260"/>
      <c r="BL42" s="241">
        <v>9</v>
      </c>
      <c r="BN42" s="241" t="s">
        <v>100</v>
      </c>
      <c r="BO42" s="241" t="s">
        <v>302</v>
      </c>
      <c r="BP42" s="258">
        <f t="shared" si="7"/>
        <v>150000</v>
      </c>
      <c r="BQ42" s="241">
        <v>9</v>
      </c>
      <c r="BS42" s="241" t="s">
        <v>303</v>
      </c>
      <c r="BT42" s="258">
        <f>BP30</f>
        <v>150000</v>
      </c>
      <c r="BU42" s="258">
        <f>'it data'!J23</f>
        <v>0</v>
      </c>
      <c r="BV42" s="258">
        <f>MIN(BT42:BU42)</f>
        <v>0</v>
      </c>
      <c r="BY42" s="258">
        <f>MIN(BT42:BU42)</f>
        <v>0</v>
      </c>
    </row>
    <row r="43" spans="4:69" ht="15">
      <c r="D43" s="241">
        <v>2</v>
      </c>
      <c r="E43" s="241">
        <v>1</v>
      </c>
      <c r="F43" s="307" t="s">
        <v>304</v>
      </c>
      <c r="H43" s="241">
        <v>10</v>
      </c>
      <c r="I43" s="241">
        <v>12</v>
      </c>
      <c r="L43" s="241">
        <v>3</v>
      </c>
      <c r="M43" s="241">
        <v>500</v>
      </c>
      <c r="N43" s="241">
        <v>500</v>
      </c>
      <c r="O43" s="241">
        <v>1</v>
      </c>
      <c r="P43" s="241">
        <f>IF(O43=1,"",500)</f>
      </c>
      <c r="R43" s="241">
        <v>3</v>
      </c>
      <c r="S43" s="241">
        <v>75</v>
      </c>
      <c r="T43" s="241">
        <v>75</v>
      </c>
      <c r="V43" s="241">
        <f>IF(U42=1,"",75)</f>
      </c>
      <c r="AB43" s="241">
        <v>35</v>
      </c>
      <c r="AC43" s="241">
        <f>'it data'!C80</f>
        <v>17540</v>
      </c>
      <c r="AD43" s="241">
        <v>9050</v>
      </c>
      <c r="AE43" s="241">
        <v>9285</v>
      </c>
      <c r="AF43" s="241">
        <f t="shared" si="9"/>
        <v>17540</v>
      </c>
      <c r="AG43" s="241">
        <f t="shared" si="10"/>
        <v>18030</v>
      </c>
      <c r="AH43" s="241">
        <f t="shared" si="11"/>
        <v>18520</v>
      </c>
      <c r="AR43" s="308"/>
      <c r="AS43" s="308"/>
      <c r="AT43" s="260"/>
      <c r="AU43" s="260"/>
      <c r="AV43" s="260"/>
      <c r="AW43" s="260"/>
      <c r="AX43" s="260"/>
      <c r="AY43" s="260"/>
      <c r="AZ43" s="260"/>
      <c r="BL43" s="241">
        <v>10</v>
      </c>
      <c r="BN43" s="241" t="s">
        <v>107</v>
      </c>
      <c r="BO43" s="241" t="s">
        <v>106</v>
      </c>
      <c r="BP43" s="258">
        <f>Sheet2!E48</f>
        <v>100000</v>
      </c>
      <c r="BQ43" s="241">
        <v>10</v>
      </c>
    </row>
    <row r="44" spans="4:78" ht="24.75" customHeight="1">
      <c r="D44" s="241">
        <v>3</v>
      </c>
      <c r="E44" s="241">
        <v>2</v>
      </c>
      <c r="F44" s="307" t="s">
        <v>305</v>
      </c>
      <c r="H44" s="241">
        <v>12.5</v>
      </c>
      <c r="I44" s="241">
        <v>14.5</v>
      </c>
      <c r="L44" s="241">
        <v>4</v>
      </c>
      <c r="M44" s="241">
        <v>600</v>
      </c>
      <c r="N44" s="241">
        <v>600</v>
      </c>
      <c r="P44" s="241">
        <f>IF(O43=1,"",600)</f>
      </c>
      <c r="R44" s="241">
        <v>4</v>
      </c>
      <c r="S44" s="241">
        <v>100</v>
      </c>
      <c r="T44" s="241">
        <v>100</v>
      </c>
      <c r="V44" s="241">
        <f>IF(U42=1,"",100)</f>
      </c>
      <c r="X44" s="258">
        <f>'it data'!J26</f>
        <v>0</v>
      </c>
      <c r="Y44" s="309">
        <f>IF(AND(S51=1,S47=3,AA51&lt;Y52),SUM(Y52-AA51),IF(AND(S51=2,S47=3,AA51&lt;Y53),SUM(Y53-AA51),IF(AND(S51=1,S47=3,AA51&gt;=Y52),0,IF(AND(S51=2,S47=3,AA51&gt;=Y53),0,X44))))</f>
        <v>0</v>
      </c>
      <c r="Z44" s="258">
        <f>MIN(Y50,Y44,X44)</f>
        <v>0</v>
      </c>
      <c r="AB44" s="241">
        <v>36</v>
      </c>
      <c r="AC44" s="241">
        <f>'it data'!C81</f>
        <v>18030</v>
      </c>
      <c r="AD44" s="241">
        <v>9285</v>
      </c>
      <c r="AE44" s="241">
        <v>9520</v>
      </c>
      <c r="AF44" s="241">
        <f t="shared" si="9"/>
        <v>18030</v>
      </c>
      <c r="AG44" s="241">
        <f t="shared" si="10"/>
        <v>18520</v>
      </c>
      <c r="AH44" s="241">
        <f t="shared" si="11"/>
        <v>19050</v>
      </c>
      <c r="BL44" s="241">
        <v>11</v>
      </c>
      <c r="BN44" s="241" t="s">
        <v>107</v>
      </c>
      <c r="BO44" s="241" t="s">
        <v>306</v>
      </c>
      <c r="BP44" s="258">
        <f>$BP$43</f>
        <v>100000</v>
      </c>
      <c r="BQ44" s="241">
        <v>11</v>
      </c>
      <c r="BV44" s="258">
        <f>MIN(SUM(BV30:BV42),Sheet2!E46)</f>
        <v>10797</v>
      </c>
      <c r="BW44" s="258">
        <f>MIN(SUM(BW34:BW40),Sheet2!E47)</f>
        <v>0</v>
      </c>
      <c r="BX44" s="258">
        <f>MIN(SUM(BX30),BP30)</f>
        <v>0</v>
      </c>
      <c r="BY44" s="258">
        <f>SUM(BW44,BX48,BX41)</f>
        <v>10797</v>
      </c>
      <c r="BZ44" s="241" t="s">
        <v>307</v>
      </c>
    </row>
    <row r="45" spans="4:76" ht="15">
      <c r="D45" s="241">
        <v>4</v>
      </c>
      <c r="E45" s="241">
        <v>3</v>
      </c>
      <c r="F45" s="307" t="s">
        <v>308</v>
      </c>
      <c r="H45" s="241">
        <v>20</v>
      </c>
      <c r="I45" s="241">
        <v>20</v>
      </c>
      <c r="N45" s="241">
        <v>4</v>
      </c>
      <c r="O45" s="241">
        <f>VLOOKUP(N45,L41:N44,3,0)</f>
        <v>600</v>
      </c>
      <c r="S45" s="241">
        <v>4</v>
      </c>
      <c r="T45" s="241">
        <f>VLOOKUP(S45,R41:V44,5,0)</f>
      </c>
      <c r="AB45" s="241">
        <v>37</v>
      </c>
      <c r="AC45" s="241">
        <f>'it data'!C82</f>
        <v>18520</v>
      </c>
      <c r="AD45" s="241">
        <v>9520</v>
      </c>
      <c r="AE45" s="241">
        <v>9775</v>
      </c>
      <c r="AF45" s="241">
        <f t="shared" si="9"/>
        <v>18520</v>
      </c>
      <c r="AG45" s="241">
        <f t="shared" si="10"/>
        <v>19050</v>
      </c>
      <c r="AH45" s="241">
        <f t="shared" si="11"/>
        <v>19580</v>
      </c>
      <c r="BL45" s="241">
        <v>12</v>
      </c>
      <c r="BN45" s="241" t="s">
        <v>100</v>
      </c>
      <c r="BO45" s="241" t="s">
        <v>263</v>
      </c>
      <c r="BP45" s="258">
        <f t="shared" si="7"/>
        <v>150000</v>
      </c>
      <c r="BQ45" s="241">
        <v>12</v>
      </c>
      <c r="BV45" s="241" t="s">
        <v>309</v>
      </c>
      <c r="BW45" s="241" t="s">
        <v>310</v>
      </c>
      <c r="BX45" s="241" t="s">
        <v>110</v>
      </c>
    </row>
    <row r="46" spans="4:69" ht="15">
      <c r="D46" s="241">
        <v>5</v>
      </c>
      <c r="E46" s="241">
        <v>4</v>
      </c>
      <c r="F46" s="307" t="s">
        <v>311</v>
      </c>
      <c r="H46" s="241">
        <v>30</v>
      </c>
      <c r="I46" s="241">
        <v>30</v>
      </c>
      <c r="K46" s="279"/>
      <c r="AB46" s="241">
        <v>38</v>
      </c>
      <c r="AC46" s="241">
        <f>'it data'!C83</f>
        <v>19050</v>
      </c>
      <c r="AD46" s="241">
        <v>9775</v>
      </c>
      <c r="AE46" s="241">
        <v>10030</v>
      </c>
      <c r="AF46" s="241">
        <f t="shared" si="9"/>
        <v>19050</v>
      </c>
      <c r="AG46" s="241">
        <f t="shared" si="10"/>
        <v>19580</v>
      </c>
      <c r="AH46" s="241">
        <f t="shared" si="11"/>
        <v>20110</v>
      </c>
      <c r="BL46" s="241">
        <v>13</v>
      </c>
      <c r="BN46" s="241" t="s">
        <v>100</v>
      </c>
      <c r="BO46" s="241" t="s">
        <v>265</v>
      </c>
      <c r="BP46" s="258">
        <f t="shared" si="7"/>
        <v>150000</v>
      </c>
      <c r="BQ46" s="241">
        <v>13</v>
      </c>
    </row>
    <row r="47" spans="6:69" ht="15">
      <c r="F47" s="241">
        <v>1</v>
      </c>
      <c r="K47" s="279"/>
      <c r="R47" s="309" t="s">
        <v>121</v>
      </c>
      <c r="S47" s="309">
        <v>2</v>
      </c>
      <c r="T47" s="309" t="str">
        <f>VLOOKUP(S47,S48:T50,2,0)</f>
        <v>80D-Medical Insurance Premium-senior citizen dependent parents</v>
      </c>
      <c r="U47" s="309"/>
      <c r="V47" s="309"/>
      <c r="W47" s="309"/>
      <c r="X47" s="309">
        <f>VLOOKUP(S47,S48:Y50,7,0)</f>
        <v>20000</v>
      </c>
      <c r="Y47" s="309">
        <f>'it data'!J26</f>
        <v>0</v>
      </c>
      <c r="Z47" s="309">
        <f>IF(S47=3,AA50,MIN(X47,Y47))</f>
        <v>0</v>
      </c>
      <c r="AA47" s="309">
        <f>IF(Y47=0,0,Z47)</f>
        <v>0</v>
      </c>
      <c r="AB47" s="241">
        <v>39</v>
      </c>
      <c r="AC47" s="241">
        <f>'it data'!C84</f>
        <v>19580</v>
      </c>
      <c r="AD47" s="241">
        <v>10030</v>
      </c>
      <c r="AE47" s="241">
        <v>10285</v>
      </c>
      <c r="AF47" s="241">
        <f t="shared" si="9"/>
        <v>19580</v>
      </c>
      <c r="AG47" s="241">
        <f t="shared" si="10"/>
        <v>20110</v>
      </c>
      <c r="AH47" s="241">
        <f t="shared" si="11"/>
        <v>20680</v>
      </c>
      <c r="BL47" s="241">
        <v>14</v>
      </c>
      <c r="BN47" s="241" t="s">
        <v>100</v>
      </c>
      <c r="BO47" s="241" t="s">
        <v>269</v>
      </c>
      <c r="BP47" s="258">
        <f t="shared" si="7"/>
        <v>150000</v>
      </c>
      <c r="BQ47" s="241">
        <v>14</v>
      </c>
    </row>
    <row r="48" spans="7:76" ht="15">
      <c r="G48" s="241" t="str">
        <f>S19</f>
        <v>Oct-2014</v>
      </c>
      <c r="H48" s="241">
        <f>T19</f>
        <v>41913</v>
      </c>
      <c r="K48" s="279"/>
      <c r="S48" s="241">
        <v>1</v>
      </c>
      <c r="T48" s="241" t="s">
        <v>312</v>
      </c>
      <c r="Y48" s="258">
        <f>Sheet2!E54</f>
        <v>15000</v>
      </c>
      <c r="AB48" s="241">
        <v>40</v>
      </c>
      <c r="AC48" s="241">
        <f>'it data'!C85</f>
        <v>20110</v>
      </c>
      <c r="AD48" s="241">
        <v>10285</v>
      </c>
      <c r="AE48" s="241">
        <v>10565</v>
      </c>
      <c r="AF48" s="241">
        <f t="shared" si="9"/>
        <v>20110</v>
      </c>
      <c r="AG48" s="241">
        <f t="shared" si="10"/>
        <v>20680</v>
      </c>
      <c r="AH48" s="241">
        <f t="shared" si="11"/>
        <v>21250</v>
      </c>
      <c r="BL48" s="241">
        <v>15</v>
      </c>
      <c r="BN48" s="241" t="s">
        <v>100</v>
      </c>
      <c r="BO48" s="241" t="s">
        <v>271</v>
      </c>
      <c r="BP48" s="258">
        <f t="shared" si="7"/>
        <v>150000</v>
      </c>
      <c r="BQ48" s="241">
        <v>15</v>
      </c>
      <c r="BW48" s="258">
        <f>SUM(BV44,BX44)</f>
        <v>10797</v>
      </c>
      <c r="BX48" s="258">
        <f>MIN(Sheet2!E46,'it pro'!BW48)</f>
        <v>10797</v>
      </c>
    </row>
    <row r="49" spans="5:69" ht="15">
      <c r="E49" s="241">
        <f>(G49/100*V19/U19)+(G50/100*W19/U19)</f>
        <v>0.12</v>
      </c>
      <c r="F49" s="310" t="s">
        <v>267</v>
      </c>
      <c r="G49" s="241">
        <f>INDEX(H90:H104,R19,0)</f>
        <v>12</v>
      </c>
      <c r="L49" s="241">
        <v>2</v>
      </c>
      <c r="N49" s="311" t="s">
        <v>313</v>
      </c>
      <c r="S49" s="241">
        <v>2</v>
      </c>
      <c r="T49" s="241" t="s">
        <v>314</v>
      </c>
      <c r="Y49" s="258">
        <f>Sheet2!E55</f>
        <v>20000</v>
      </c>
      <c r="AB49" s="241">
        <v>41</v>
      </c>
      <c r="AC49" s="241">
        <f>'it data'!C86</f>
        <v>20680</v>
      </c>
      <c r="AD49" s="241">
        <v>10565</v>
      </c>
      <c r="AE49" s="241">
        <v>10845</v>
      </c>
      <c r="AF49" s="241">
        <f t="shared" si="9"/>
        <v>20680</v>
      </c>
      <c r="AG49" s="241">
        <f t="shared" si="10"/>
        <v>21250</v>
      </c>
      <c r="AH49" s="241">
        <f t="shared" si="11"/>
        <v>21820</v>
      </c>
      <c r="BL49" s="241">
        <v>16</v>
      </c>
      <c r="BN49" s="241" t="s">
        <v>100</v>
      </c>
      <c r="BO49" s="241" t="s">
        <v>272</v>
      </c>
      <c r="BP49" s="258">
        <f t="shared" si="7"/>
        <v>150000</v>
      </c>
      <c r="BQ49" s="241">
        <v>16</v>
      </c>
    </row>
    <row r="50" spans="5:75" ht="15">
      <c r="E50" s="241">
        <f>ROUND(E49*100,1)</f>
        <v>12</v>
      </c>
      <c r="F50" s="310" t="s">
        <v>268</v>
      </c>
      <c r="G50" s="241">
        <f>VLOOKUP(R19,A91:H104,8,0)</f>
        <v>12</v>
      </c>
      <c r="K50" s="241" t="s">
        <v>315</v>
      </c>
      <c r="L50" s="241" t="s">
        <v>316</v>
      </c>
      <c r="O50" s="241">
        <f>'it data'!B14</f>
        <v>0</v>
      </c>
      <c r="S50" s="241">
        <v>3</v>
      </c>
      <c r="T50" s="241" t="s">
        <v>317</v>
      </c>
      <c r="Y50" s="312">
        <f>Sheet2!I55</f>
        <v>5000</v>
      </c>
      <c r="AA50" s="313">
        <f>Z44</f>
        <v>0</v>
      </c>
      <c r="AB50" s="241">
        <v>42</v>
      </c>
      <c r="AC50" s="241">
        <f>'it data'!C87</f>
        <v>21250</v>
      </c>
      <c r="AD50" s="241">
        <v>10845</v>
      </c>
      <c r="AE50" s="241">
        <v>11125</v>
      </c>
      <c r="AF50" s="241">
        <f t="shared" si="9"/>
        <v>21250</v>
      </c>
      <c r="AG50" s="241">
        <f t="shared" si="10"/>
        <v>21820</v>
      </c>
      <c r="AH50" s="241">
        <f t="shared" si="11"/>
        <v>22430</v>
      </c>
      <c r="BL50" s="241">
        <v>17</v>
      </c>
      <c r="BN50" s="241" t="s">
        <v>113</v>
      </c>
      <c r="BO50" s="241" t="s">
        <v>318</v>
      </c>
      <c r="BP50" s="258">
        <f>Sheet2!E50</f>
        <v>10000</v>
      </c>
      <c r="BQ50" s="241">
        <v>17</v>
      </c>
      <c r="BT50" s="241" t="s">
        <v>319</v>
      </c>
      <c r="BW50" s="258">
        <f>SUM(BV44+BW44+BX41)</f>
        <v>10797</v>
      </c>
    </row>
    <row r="51" spans="12:69" ht="15">
      <c r="L51" s="241" t="s">
        <v>300</v>
      </c>
      <c r="O51" s="241">
        <f>'it data'!E14</f>
        <v>0</v>
      </c>
      <c r="R51" s="309" t="s">
        <v>121</v>
      </c>
      <c r="S51" s="309">
        <v>1</v>
      </c>
      <c r="T51" s="309" t="str">
        <f>VLOOKUP(S51,S52:T53,2,0)</f>
        <v>80D-Medical Insurance Premium-Self ,Spouse &amp; Children</v>
      </c>
      <c r="U51" s="309"/>
      <c r="V51" s="309"/>
      <c r="W51" s="309"/>
      <c r="X51" s="309">
        <f>VLOOKUP(S51,S52:Y53,7,0)</f>
        <v>15000</v>
      </c>
      <c r="Y51" s="303">
        <f>SUM('it data'!J27+'ITAnnexure-I'!Q24)</f>
        <v>360</v>
      </c>
      <c r="Z51" s="309">
        <f>MIN(X51:Y51)</f>
        <v>360</v>
      </c>
      <c r="AA51" s="309">
        <f>IF(Y51=0,0,Z51)</f>
        <v>360</v>
      </c>
      <c r="AB51" s="241">
        <v>43</v>
      </c>
      <c r="AC51" s="241">
        <f>'it data'!C88</f>
        <v>21820</v>
      </c>
      <c r="AD51" s="241">
        <v>11125</v>
      </c>
      <c r="AE51" s="241">
        <v>11440</v>
      </c>
      <c r="AF51" s="241">
        <f t="shared" si="9"/>
        <v>21820</v>
      </c>
      <c r="AG51" s="241">
        <f t="shared" si="10"/>
        <v>22430</v>
      </c>
      <c r="AH51" s="241">
        <f t="shared" si="11"/>
        <v>23040</v>
      </c>
      <c r="BL51" s="241">
        <v>18</v>
      </c>
      <c r="BN51" s="241" t="s">
        <v>104</v>
      </c>
      <c r="BO51" s="241" t="s">
        <v>320</v>
      </c>
      <c r="BP51" s="258">
        <v>50000</v>
      </c>
      <c r="BQ51" s="241">
        <v>18</v>
      </c>
    </row>
    <row r="52" spans="19:68" ht="15">
      <c r="S52" s="241">
        <v>1</v>
      </c>
      <c r="T52" s="241" t="s">
        <v>321</v>
      </c>
      <c r="Y52" s="258">
        <v>15000</v>
      </c>
      <c r="AB52" s="241">
        <v>44</v>
      </c>
      <c r="AC52" s="241">
        <f>'it data'!C89</f>
        <v>22430</v>
      </c>
      <c r="AD52" s="241">
        <v>11440</v>
      </c>
      <c r="AE52" s="241">
        <v>11755</v>
      </c>
      <c r="AF52" s="241">
        <f t="shared" si="9"/>
        <v>22430</v>
      </c>
      <c r="AG52" s="241">
        <f t="shared" si="10"/>
        <v>23040</v>
      </c>
      <c r="AH52" s="241">
        <f t="shared" si="11"/>
        <v>23650</v>
      </c>
      <c r="BN52" s="241" t="s">
        <v>110</v>
      </c>
      <c r="BO52" s="241" t="s">
        <v>109</v>
      </c>
      <c r="BP52" s="258">
        <f>Sheet2!E49</f>
        <v>100000</v>
      </c>
    </row>
    <row r="53" spans="19:34" ht="19.5" customHeight="1">
      <c r="S53" s="241">
        <v>2</v>
      </c>
      <c r="T53" s="241" t="s">
        <v>322</v>
      </c>
      <c r="Y53" s="258">
        <v>20000</v>
      </c>
      <c r="AB53" s="241">
        <v>45</v>
      </c>
      <c r="AC53" s="241">
        <f>'it data'!C90</f>
        <v>23040</v>
      </c>
      <c r="AD53" s="241">
        <v>11755</v>
      </c>
      <c r="AE53" s="241">
        <v>12070</v>
      </c>
      <c r="AF53" s="241">
        <f t="shared" si="9"/>
        <v>23040</v>
      </c>
      <c r="AG53" s="241">
        <f t="shared" si="10"/>
        <v>23650</v>
      </c>
      <c r="AH53" s="241">
        <f t="shared" si="11"/>
        <v>24300</v>
      </c>
    </row>
    <row r="54" spans="27:68" ht="15">
      <c r="AA54" s="241">
        <f>IF(S47=3,ROUND(SUM(AA51+AA50),0),ROUND(SUM(AA51+AA47),0))</f>
        <v>360</v>
      </c>
      <c r="AB54" s="241">
        <v>46</v>
      </c>
      <c r="AC54" s="241">
        <f>'it data'!C91</f>
        <v>23650</v>
      </c>
      <c r="AD54" s="241">
        <v>12070</v>
      </c>
      <c r="AE54" s="241">
        <v>12385</v>
      </c>
      <c r="AF54" s="241">
        <f t="shared" si="9"/>
        <v>23650</v>
      </c>
      <c r="AG54" s="241">
        <f t="shared" si="10"/>
        <v>24300</v>
      </c>
      <c r="AH54" s="241">
        <f t="shared" si="11"/>
        <v>24950</v>
      </c>
      <c r="BP54" s="258">
        <f>Sheet2!E47</f>
        <v>25000</v>
      </c>
    </row>
    <row r="55" spans="5:34" ht="16.5" customHeight="1">
      <c r="E55" s="241" t="s">
        <v>323</v>
      </c>
      <c r="AB55" s="241">
        <v>47</v>
      </c>
      <c r="AC55" s="241">
        <f>'it data'!C92</f>
        <v>24300</v>
      </c>
      <c r="AD55" s="241">
        <v>12385</v>
      </c>
      <c r="AE55" s="241">
        <v>12700</v>
      </c>
      <c r="AF55" s="241">
        <f t="shared" si="9"/>
        <v>24300</v>
      </c>
      <c r="AG55" s="241">
        <f t="shared" si="10"/>
        <v>24950</v>
      </c>
      <c r="AH55" s="241">
        <f t="shared" si="11"/>
        <v>25600</v>
      </c>
    </row>
    <row r="56" spans="5:34" ht="18" customHeight="1">
      <c r="E56" s="309">
        <v>15</v>
      </c>
      <c r="R56" s="256"/>
      <c r="T56" s="241" t="s">
        <v>324</v>
      </c>
      <c r="Z56" s="303">
        <f>MIN(IF('it data'!J36="",0,'it data'!J36),'it data'!J36,15000)</f>
        <v>0</v>
      </c>
      <c r="AB56" s="241">
        <v>48</v>
      </c>
      <c r="AC56" s="241">
        <f>'it data'!C93</f>
        <v>24950</v>
      </c>
      <c r="AD56" s="241">
        <v>12700</v>
      </c>
      <c r="AE56" s="241">
        <v>13030</v>
      </c>
      <c r="AF56" s="241">
        <f t="shared" si="9"/>
        <v>24950</v>
      </c>
      <c r="AG56" s="241">
        <f t="shared" si="10"/>
        <v>25600</v>
      </c>
      <c r="AH56" s="241">
        <f t="shared" si="11"/>
        <v>26300</v>
      </c>
    </row>
    <row r="57" spans="28:34" ht="15">
      <c r="AB57" s="241">
        <v>49</v>
      </c>
      <c r="AC57" s="241">
        <f>'it data'!C94</f>
        <v>25600</v>
      </c>
      <c r="AD57" s="241">
        <v>13030</v>
      </c>
      <c r="AE57" s="241">
        <v>13390</v>
      </c>
      <c r="AF57" s="241">
        <f t="shared" si="9"/>
        <v>25600</v>
      </c>
      <c r="AG57" s="241">
        <f t="shared" si="10"/>
        <v>26300</v>
      </c>
      <c r="AH57" s="241">
        <f t="shared" si="11"/>
        <v>27000</v>
      </c>
    </row>
    <row r="58" spans="2:34" ht="15">
      <c r="B58" s="314">
        <v>40663</v>
      </c>
      <c r="C58" s="314" t="str">
        <f>TEXT(B58,"mmm-yyyy")</f>
        <v>Apr-2011</v>
      </c>
      <c r="D58" s="241">
        <f>DATEVALUE(C58)</f>
        <v>40634</v>
      </c>
      <c r="AB58" s="241">
        <v>50</v>
      </c>
      <c r="AC58" s="241">
        <f>'it data'!C95</f>
        <v>26300</v>
      </c>
      <c r="AD58" s="241">
        <v>13390</v>
      </c>
      <c r="AE58" s="241">
        <v>13750</v>
      </c>
      <c r="AF58" s="241">
        <f t="shared" si="9"/>
        <v>26300</v>
      </c>
      <c r="AG58" s="241">
        <f t="shared" si="10"/>
        <v>27000</v>
      </c>
      <c r="AH58" s="241">
        <f t="shared" si="11"/>
        <v>27700</v>
      </c>
    </row>
    <row r="59" spans="18:34" ht="15">
      <c r="R59" s="309" t="s">
        <v>325</v>
      </c>
      <c r="S59" s="309">
        <v>1</v>
      </c>
      <c r="T59" s="309" t="str">
        <f>VLOOKUP(S59,S60:T61,2,0)</f>
        <v>80DDB-Expenditure on medical treatment</v>
      </c>
      <c r="U59" s="309"/>
      <c r="V59" s="309"/>
      <c r="W59" s="309"/>
      <c r="X59" s="309">
        <f>VLOOKUP(S59,S60:Y61,7,0)</f>
        <v>40000</v>
      </c>
      <c r="Y59" s="309">
        <f>'it data'!J25</f>
        <v>0</v>
      </c>
      <c r="Z59" s="309">
        <f>MIN(X59,Y59)</f>
        <v>0</v>
      </c>
      <c r="AA59" s="309">
        <f>IF(Y59=0,0,Z59)</f>
        <v>0</v>
      </c>
      <c r="AB59" s="241">
        <v>51</v>
      </c>
      <c r="AC59" s="241">
        <f>'it data'!C96</f>
        <v>27000</v>
      </c>
      <c r="AD59" s="241">
        <v>13750</v>
      </c>
      <c r="AE59" s="241">
        <v>14175</v>
      </c>
      <c r="AF59" s="241">
        <f t="shared" si="9"/>
        <v>27000</v>
      </c>
      <c r="AG59" s="241">
        <f t="shared" si="10"/>
        <v>27700</v>
      </c>
      <c r="AH59" s="241">
        <f t="shared" si="11"/>
        <v>28450</v>
      </c>
    </row>
    <row r="60" spans="19:41" ht="15">
      <c r="S60" s="241">
        <v>1</v>
      </c>
      <c r="T60" s="241" t="s">
        <v>326</v>
      </c>
      <c r="Y60" s="258">
        <f>Sheet2!E56</f>
        <v>40000</v>
      </c>
      <c r="AB60" s="241">
        <v>52</v>
      </c>
      <c r="AC60" s="241">
        <f>'it data'!C97</f>
        <v>27700</v>
      </c>
      <c r="AD60" s="241">
        <v>14175</v>
      </c>
      <c r="AE60" s="241">
        <v>14600</v>
      </c>
      <c r="AF60" s="241">
        <f t="shared" si="9"/>
        <v>27700</v>
      </c>
      <c r="AG60" s="241">
        <f t="shared" si="10"/>
        <v>28450</v>
      </c>
      <c r="AH60" s="241">
        <f t="shared" si="11"/>
        <v>29200</v>
      </c>
      <c r="AO60" s="258"/>
    </row>
    <row r="61" spans="5:41" ht="15">
      <c r="E61" s="241">
        <v>1</v>
      </c>
      <c r="F61" s="241">
        <v>2</v>
      </c>
      <c r="G61" s="241">
        <v>3</v>
      </c>
      <c r="H61" s="241">
        <v>4</v>
      </c>
      <c r="I61" s="241">
        <v>5</v>
      </c>
      <c r="J61" s="241">
        <v>6</v>
      </c>
      <c r="K61" s="241">
        <v>7</v>
      </c>
      <c r="L61" s="241">
        <v>8</v>
      </c>
      <c r="M61" s="241">
        <v>9</v>
      </c>
      <c r="N61" s="241">
        <v>10</v>
      </c>
      <c r="O61" s="241">
        <v>11</v>
      </c>
      <c r="P61" s="241">
        <v>12</v>
      </c>
      <c r="Q61" s="241">
        <v>13</v>
      </c>
      <c r="R61" s="241">
        <v>14</v>
      </c>
      <c r="S61" s="241">
        <v>2</v>
      </c>
      <c r="T61" s="241" t="s">
        <v>327</v>
      </c>
      <c r="Y61" s="258">
        <f>Sheet2!E57</f>
        <v>60000</v>
      </c>
      <c r="AB61" s="241">
        <v>53</v>
      </c>
      <c r="AC61" s="241">
        <f>'it data'!C98</f>
        <v>28450</v>
      </c>
      <c r="AD61" s="241">
        <v>14600</v>
      </c>
      <c r="AE61" s="241">
        <v>15025</v>
      </c>
      <c r="AF61" s="241">
        <f t="shared" si="9"/>
        <v>28450</v>
      </c>
      <c r="AG61" s="241">
        <f t="shared" si="10"/>
        <v>29200</v>
      </c>
      <c r="AH61" s="241">
        <f t="shared" si="11"/>
        <v>29950</v>
      </c>
      <c r="AO61" s="258"/>
    </row>
    <row r="62" spans="3:41" ht="15">
      <c r="C62" s="241">
        <f>R12</f>
        <v>20680</v>
      </c>
      <c r="E62" s="241">
        <v>2</v>
      </c>
      <c r="F62" s="241">
        <v>3</v>
      </c>
      <c r="G62" s="241">
        <v>4</v>
      </c>
      <c r="H62" s="241">
        <v>5</v>
      </c>
      <c r="I62" s="241">
        <v>6</v>
      </c>
      <c r="J62" s="241">
        <v>7</v>
      </c>
      <c r="K62" s="241">
        <v>8</v>
      </c>
      <c r="L62" s="241">
        <v>9</v>
      </c>
      <c r="M62" s="241">
        <v>10</v>
      </c>
      <c r="N62" s="241">
        <v>11</v>
      </c>
      <c r="O62" s="241">
        <v>12</v>
      </c>
      <c r="P62" s="241">
        <v>13</v>
      </c>
      <c r="Q62" s="241">
        <v>14</v>
      </c>
      <c r="R62" s="241">
        <v>15</v>
      </c>
      <c r="S62" s="315">
        <v>1</v>
      </c>
      <c r="T62" s="241" t="str">
        <f>VLOOKUP(S62,S63:T64,2,0)</f>
        <v>80G-Donation of Charitable Institution</v>
      </c>
      <c r="X62" s="241">
        <f>VLOOKUP(S62,S63:Y64,7,0)</f>
        <v>100000</v>
      </c>
      <c r="Y62" s="309">
        <f>'it data'!J28</f>
        <v>0</v>
      </c>
      <c r="Z62" s="241">
        <f>MIN(X62,Y62)</f>
        <v>0</v>
      </c>
      <c r="AA62" s="241">
        <f>IF(Y62=0,0,Z62)</f>
        <v>0</v>
      </c>
      <c r="AB62" s="241">
        <v>54</v>
      </c>
      <c r="AC62" s="241">
        <f>'it data'!C99</f>
        <v>29200</v>
      </c>
      <c r="AD62" s="241">
        <v>15025</v>
      </c>
      <c r="AE62" s="241">
        <v>15500</v>
      </c>
      <c r="AF62" s="241">
        <f t="shared" si="9"/>
        <v>29200</v>
      </c>
      <c r="AG62" s="241">
        <f t="shared" si="10"/>
        <v>29950</v>
      </c>
      <c r="AH62" s="241">
        <f t="shared" si="11"/>
        <v>30750</v>
      </c>
      <c r="AO62" s="258"/>
    </row>
    <row r="63" spans="5:41" ht="15">
      <c r="E63" s="256">
        <f>C91</f>
        <v>41670</v>
      </c>
      <c r="F63" s="256">
        <f>C92</f>
        <v>41698</v>
      </c>
      <c r="G63" s="256">
        <f>C93</f>
        <v>41729</v>
      </c>
      <c r="H63" s="256">
        <f>C94</f>
        <v>41759</v>
      </c>
      <c r="I63" s="256">
        <f>C95</f>
        <v>41790</v>
      </c>
      <c r="J63" s="256">
        <f>C96</f>
        <v>41820</v>
      </c>
      <c r="K63" s="256">
        <f>C97</f>
        <v>41851</v>
      </c>
      <c r="L63" s="256">
        <f>C98</f>
        <v>41882</v>
      </c>
      <c r="M63" s="256">
        <f>C99</f>
        <v>41912</v>
      </c>
      <c r="N63" s="256">
        <f>C100</f>
        <v>41943</v>
      </c>
      <c r="O63" s="256">
        <f>C101</f>
        <v>41973</v>
      </c>
      <c r="P63" s="256">
        <f>C102</f>
        <v>42004</v>
      </c>
      <c r="Q63" s="256">
        <f>C103</f>
        <v>42035</v>
      </c>
      <c r="R63" s="256">
        <f>C104</f>
        <v>42063</v>
      </c>
      <c r="S63" s="241">
        <v>1</v>
      </c>
      <c r="T63" s="241" t="s">
        <v>328</v>
      </c>
      <c r="Y63" s="258">
        <f>Sheet2!E58</f>
        <v>100000</v>
      </c>
      <c r="AB63" s="241">
        <v>55</v>
      </c>
      <c r="AC63" s="241">
        <f>'it data'!C100</f>
        <v>29950</v>
      </c>
      <c r="AD63" s="241">
        <v>15500</v>
      </c>
      <c r="AE63" s="241">
        <v>15975</v>
      </c>
      <c r="AF63" s="241">
        <f t="shared" si="9"/>
        <v>29950</v>
      </c>
      <c r="AG63" s="241">
        <f t="shared" si="10"/>
        <v>30750</v>
      </c>
      <c r="AH63" s="241">
        <f t="shared" si="11"/>
        <v>31550</v>
      </c>
      <c r="AO63" s="258"/>
    </row>
    <row r="64" spans="4:41" ht="15">
      <c r="D64" s="241" t="s">
        <v>329</v>
      </c>
      <c r="E64" s="241">
        <f>IF(Q13=1,C62,IF(AND(Q13=2),VLOOKUP(C62,AF9:AG88,2,0),C62))</f>
        <v>20680</v>
      </c>
      <c r="F64" s="241">
        <f>IF(Q13=1,E68,IF(AND(Q13=3),VLOOKUP(E68,AF9:AG88,2,0),E68))</f>
        <v>20680</v>
      </c>
      <c r="G64" s="241">
        <f>IF(Q13=1,F68,IF(AND(Q13=4),VLOOKUP(F68,AF9:AG88,2,0),F68))</f>
        <v>20680</v>
      </c>
      <c r="H64" s="241">
        <f>IF(Q13=1,G68,IF(AND(Q13=5),VLOOKUP(G68,AF9:AG88,2,0),G68))</f>
        <v>20680</v>
      </c>
      <c r="I64" s="241">
        <f>IF(Q13=1,H68,IF(AND(Q13=6),VLOOKUP(H68,AF9:AG88,2,0),H68))</f>
        <v>20680</v>
      </c>
      <c r="J64" s="241">
        <f>IF(Q13=1,I68,IF(AND(Q13=7),VLOOKUP(I68,AF9:AG88,2,0),I68))</f>
        <v>20680</v>
      </c>
      <c r="K64" s="241">
        <f>IF(Q13=1,J68,IF(AND(Q13=8),VLOOKUP(J68,AF9:AG88,2,0),J68))</f>
        <v>20680</v>
      </c>
      <c r="L64" s="241">
        <f>IF(Q13=1,K68,IF(AND(Q13=9),VLOOKUP(K68,AF9:AG88,2,0),K68))</f>
        <v>20680</v>
      </c>
      <c r="M64" s="241">
        <f>IF(Q13=1,L68,IF(AND(Q13=10),VLOOKUP(L68,AF9:AG88,2,0),L68))</f>
        <v>20680</v>
      </c>
      <c r="N64" s="241">
        <f>IF(Q13=1,M68,IF(AND(Q13=11),VLOOKUP(M68,AF9:AG88,2,0),M68))</f>
        <v>20680</v>
      </c>
      <c r="O64" s="241">
        <f>IF(Q13=1,N68,IF(AND(Q13=12),VLOOKUP(N68,AF9:AG88,2,0),N68))</f>
        <v>21250</v>
      </c>
      <c r="P64" s="241">
        <f>IF(Q13=1,O68,IF(AND(Q13=13),VLOOKUP(O68,AF9:AG88,2,0),O68))</f>
        <v>21250</v>
      </c>
      <c r="Q64" s="241">
        <f>IF(Q13=1,P68,IF(AND(Q13=14),VLOOKUP(P68,AF9:AG88,2,0),P68))</f>
        <v>21250</v>
      </c>
      <c r="R64" s="241">
        <f>IF(Q13=1,Q68,IF(AND(Q13=15),VLOOKUP(Q68,AF9:AG88,2,0),Q68))</f>
        <v>21250</v>
      </c>
      <c r="S64" s="241">
        <v>2</v>
      </c>
      <c r="T64" s="241" t="s">
        <v>330</v>
      </c>
      <c r="Y64" s="258">
        <f>Sheet2!E59</f>
        <v>100000</v>
      </c>
      <c r="AB64" s="241">
        <v>56</v>
      </c>
      <c r="AC64" s="241">
        <f>'it data'!C101</f>
        <v>30750</v>
      </c>
      <c r="AD64" s="241">
        <v>15975</v>
      </c>
      <c r="AE64" s="241">
        <v>16450</v>
      </c>
      <c r="AF64" s="241">
        <f t="shared" si="9"/>
        <v>30750</v>
      </c>
      <c r="AG64" s="241">
        <f t="shared" si="10"/>
        <v>31550</v>
      </c>
      <c r="AH64" s="241">
        <f t="shared" si="11"/>
        <v>32350</v>
      </c>
      <c r="AO64" s="258"/>
    </row>
    <row r="65" spans="4:41" ht="15">
      <c r="D65" s="241" t="s">
        <v>329</v>
      </c>
      <c r="E65" s="241">
        <f>IF(R13=1,E64,IF(AND(R13=2),VLOOKUP(E64,AF9:AG88,2,0),E64))</f>
        <v>20680</v>
      </c>
      <c r="F65" s="241">
        <f>IF(R13=1,F64,IF(AND(R13=3),VLOOKUP(F64,AF9:AG88,2,0),F64))</f>
        <v>20680</v>
      </c>
      <c r="G65" s="241">
        <f>IF(R13=1,G64,IF(AND(R13=4),VLOOKUP(G64,AF9:AG88,2,0),G64))</f>
        <v>20680</v>
      </c>
      <c r="H65" s="241">
        <f>IF(R13=1,H64,IF(AND(R13=5),VLOOKUP(H64,AF9:AG88,2,0),H64))</f>
        <v>20680</v>
      </c>
      <c r="I65" s="241">
        <f>IF(R13=1,I64,IF(AND(R13=6),VLOOKUP(I64,AF9:AG88,2,0),I64))</f>
        <v>20680</v>
      </c>
      <c r="J65" s="241">
        <f>IF(R13=1,J64,IF(AND(R13=7),VLOOKUP(J64,AF9:AG88,2,0),J64))</f>
        <v>20680</v>
      </c>
      <c r="K65" s="241">
        <f>IF(R13=1,K64,IF(AND(R13=8),VLOOKUP(K64,AF9:AG88,2,0),K64))</f>
        <v>20680</v>
      </c>
      <c r="L65" s="241">
        <f>IF(R13=1,L64,IF(AND(R13=9),VLOOKUP(L64,AF9:AG88,2,0),L64))</f>
        <v>20680</v>
      </c>
      <c r="M65" s="241">
        <f>IF(R13=1,M64,IF(AND(R13=10),VLOOKUP(M64,AF9:AG88,2,0),M64))</f>
        <v>20680</v>
      </c>
      <c r="N65" s="241">
        <f>IF(R13=1,N64,IF(AND(R13=11),VLOOKUP(N64,AF9:AG88,2,0),N64))</f>
        <v>20680</v>
      </c>
      <c r="O65" s="241">
        <f>IF(R13=1,O64,IF(AND(R13=12),VLOOKUP(O64,AF9:AG88,2,0),O64))</f>
        <v>21250</v>
      </c>
      <c r="P65" s="241">
        <f>IF(R13=1,P64,IF(AND(R13=13),VLOOKUP(P64,AF9:AG88,2,0),P64))</f>
        <v>21250</v>
      </c>
      <c r="Q65" s="241">
        <f>IF(R13=1,Q64,IF(AND(R13=14),VLOOKUP(Q64,AF9:AG88,2,0),Q64))</f>
        <v>21250</v>
      </c>
      <c r="R65" s="241">
        <f>IF(R13=1,R64,IF(AND(R13=15),VLOOKUP(R64,AF9:AG88,2,0),R64))</f>
        <v>21250</v>
      </c>
      <c r="AB65" s="241">
        <v>57</v>
      </c>
      <c r="AC65" s="241">
        <f>'it data'!C102</f>
        <v>31550</v>
      </c>
      <c r="AD65" s="241">
        <v>16450</v>
      </c>
      <c r="AE65" s="241">
        <v>16925</v>
      </c>
      <c r="AF65" s="241">
        <f t="shared" si="9"/>
        <v>31550</v>
      </c>
      <c r="AG65" s="241">
        <f t="shared" si="10"/>
        <v>32350</v>
      </c>
      <c r="AH65" s="241">
        <f t="shared" si="11"/>
        <v>33200</v>
      </c>
      <c r="AO65" s="258"/>
    </row>
    <row r="66" spans="4:41" ht="15">
      <c r="D66" s="241" t="s">
        <v>323</v>
      </c>
      <c r="E66" s="241">
        <f>IF(Q15=1,E65,IF(AND(Q15=2,E56=E61),VLOOKUP(E65,AF9:AG88,2,0),E65))</f>
        <v>20680</v>
      </c>
      <c r="F66" s="241">
        <f>IF(Q15=1,F65,IF(AND(Q15=2,E56=F61),VLOOKUP(F65,AF9:AG88,2,0),F65))</f>
        <v>20680</v>
      </c>
      <c r="G66" s="241">
        <f>IF(Q15=1,G65,IF(AND(Q15=2,E56=G61),VLOOKUP(G65,AF9:AG88,2,0),G65))</f>
        <v>20680</v>
      </c>
      <c r="H66" s="241">
        <f>IF(Q15=1,H65,IF(AND(Q15=2,E56=H61),VLOOKUP(H65,AF9:AG88,2,0),H65))</f>
        <v>20680</v>
      </c>
      <c r="I66" s="241">
        <f>IF(Q15=1,I65,IF(AND(Q15=2,E56=I61),VLOOKUP(I65,AF9:AG88,2,0),I65))</f>
        <v>20680</v>
      </c>
      <c r="J66" s="241">
        <f>IF(Q15=1,J65,IF(AND(Q15=2,E56=J61),VLOOKUP(J65,AF9:AG88,2,0),J65))</f>
        <v>20680</v>
      </c>
      <c r="K66" s="241">
        <f>IF(Q15=1,K65,IF(AND(Q15=2,E56=K61),VLOOKUP(K65,AF9:AG88,2,0),K65))</f>
        <v>20680</v>
      </c>
      <c r="L66" s="241">
        <f>IF(Q15=1,L65,IF(AND(Q15=2,E56=L61),VLOOKUP(L65,AF9:AG88,2,0),L65))</f>
        <v>20680</v>
      </c>
      <c r="M66" s="241">
        <f>IF(Q15=1,M65,IF(AND(Q15=2,E56=M61),VLOOKUP(M65,AF9:AG88,2,0),M65))</f>
        <v>20680</v>
      </c>
      <c r="N66" s="241">
        <f>IF(Q15=1,N65,IF(AND(Q15=2,E56=N61),VLOOKUP(N65,AF9:AG88,2,0),N65))</f>
        <v>20680</v>
      </c>
      <c r="O66" s="241">
        <f>IF(Q15=1,O65,IF(AND(Q15=2,E56=O61),VLOOKUP(O65,AF9:AG88,2,0),O65))</f>
        <v>21250</v>
      </c>
      <c r="P66" s="241">
        <f>IF(Q15=1,P65,IF(AND(Q15=2,E56=P61),VLOOKUP(P65,AF9:AG88,2,0),P65))</f>
        <v>21250</v>
      </c>
      <c r="Q66" s="241">
        <f>IF(Q15=1,Q65,IF(AND(Q15=2,E56=Q61),VLOOKUP(Q65,AF9:AG88,2,0),Q65))</f>
        <v>21250</v>
      </c>
      <c r="R66" s="241">
        <f>IF(Q15=1,R65,IF(AND(Q15=2,E56=R61),VLOOKUP(R65,AF9:AG88,2,0),R65))</f>
        <v>21250</v>
      </c>
      <c r="S66" s="316" t="s">
        <v>131</v>
      </c>
      <c r="T66" s="241" t="s">
        <v>331</v>
      </c>
      <c r="X66" s="258">
        <f>Sheet2!E60</f>
        <v>200000</v>
      </c>
      <c r="Y66" s="309">
        <f>'it data'!J31</f>
        <v>0</v>
      </c>
      <c r="Z66" s="258">
        <f>MIN(X66,Y66)</f>
        <v>0</v>
      </c>
      <c r="AA66" s="241">
        <f>IF(Y66=0,0,Z66)</f>
        <v>0</v>
      </c>
      <c r="AB66" s="241">
        <v>58</v>
      </c>
      <c r="AC66" s="241">
        <f>'it data'!C103</f>
        <v>32350</v>
      </c>
      <c r="AD66" s="241">
        <v>16925</v>
      </c>
      <c r="AE66" s="241">
        <v>17475</v>
      </c>
      <c r="AF66" s="241">
        <f t="shared" si="9"/>
        <v>32350</v>
      </c>
      <c r="AG66" s="241">
        <f t="shared" si="10"/>
        <v>33200</v>
      </c>
      <c r="AH66" s="241">
        <f t="shared" si="11"/>
        <v>34050</v>
      </c>
      <c r="AO66" s="258"/>
    </row>
    <row r="67" spans="2:41" ht="15">
      <c r="B67" s="241">
        <f>IF(Q15=4," if pay fixed at intial stage,mention fixed B.Pay on promotion date","")</f>
      </c>
      <c r="C67" s="241">
        <f>'it data'!K13</f>
        <v>0</v>
      </c>
      <c r="D67" s="241" t="s">
        <v>332</v>
      </c>
      <c r="E67" s="241">
        <f>IF(Q14=1,E66,IF(AND(Q14=2),VLOOKUP(E66,AF9:AG88,2,0),E66))</f>
        <v>20680</v>
      </c>
      <c r="F67" s="241">
        <f>IF(Q14=1,F66,IF(AND(Q14=3),VLOOKUP(F66,AF9:AG88,2,0),F66))</f>
        <v>20680</v>
      </c>
      <c r="G67" s="241">
        <f>IF(Q14=1,G66,IF(AND(Q14=4),VLOOKUP(G66,AF9:AG88,2,0),G66))</f>
        <v>20680</v>
      </c>
      <c r="H67" s="241">
        <f>IF(Q14=1,H66,IF(AND(Q14=5),VLOOKUP(H66,AF9:AG88,2,0),H66))</f>
        <v>20680</v>
      </c>
      <c r="I67" s="241">
        <f>IF(Q14=1,I66,IF(AND(Q14=6),VLOOKUP(I66,AF9:AG88,2,0),I66))</f>
        <v>20680</v>
      </c>
      <c r="J67" s="241">
        <f>IF(Q14=1,J66,IF(AND(Q14=7),VLOOKUP(J66,AF9:AG88,2,0),J66))</f>
        <v>20680</v>
      </c>
      <c r="K67" s="241">
        <f>IF(Q14=1,K66,IF(AND(Q14=8),VLOOKUP(K66,AF9:AG88,2,0),K66))</f>
        <v>20680</v>
      </c>
      <c r="L67" s="241">
        <f>IF(Q14=1,L66,IF(AND(Q14=9),VLOOKUP(L66,AF9:AG88,2,0),L66))</f>
        <v>20680</v>
      </c>
      <c r="M67" s="241">
        <f>IF(Q14=1,M66,IF(AND(Q14=10),VLOOKUP(M66,AF9:AG88,2,0),M66))</f>
        <v>20680</v>
      </c>
      <c r="N67" s="241">
        <f>IF(Q14=1,N66,IF(AND(Q14=11),VLOOKUP(N66,AF9:AG88,2,0),N66))</f>
        <v>20680</v>
      </c>
      <c r="O67" s="241">
        <f>IF(Q14=1,O66,IF(AND(Q14=12),VLOOKUP(O66,AF9:AG88,2,0),O66))</f>
        <v>21250</v>
      </c>
      <c r="P67" s="241">
        <f>IF(Q14=1,P66,IF(AND(Q14=13),VLOOKUP(P66,AF9:AG88,2,0),P66))</f>
        <v>21250</v>
      </c>
      <c r="Q67" s="241">
        <f>IF(Q14=1,Q66,IF(AND(Q14=14),VLOOKUP(Q66,AF9:AG88,2,0),Q66))</f>
        <v>21250</v>
      </c>
      <c r="R67" s="241">
        <f>IF(Q14=1,R66,IF(AND(Q14=15),VLOOKUP(R66,AF9:AG88,2,0),R66))</f>
        <v>21250</v>
      </c>
      <c r="AB67" s="241">
        <v>59</v>
      </c>
      <c r="AC67" s="241">
        <f>'it data'!C104</f>
        <v>33200</v>
      </c>
      <c r="AD67" s="241">
        <v>17475</v>
      </c>
      <c r="AE67" s="241">
        <v>18025</v>
      </c>
      <c r="AF67" s="241">
        <f t="shared" si="9"/>
        <v>33200</v>
      </c>
      <c r="AG67" s="241">
        <f t="shared" si="10"/>
        <v>34050</v>
      </c>
      <c r="AH67" s="241">
        <f t="shared" si="11"/>
        <v>34900</v>
      </c>
      <c r="AO67" s="258"/>
    </row>
    <row r="68" spans="4:41" ht="15">
      <c r="D68" s="241" t="s">
        <v>333</v>
      </c>
      <c r="E68" s="241">
        <f>IF(Q15=1,E67,IF(AND(Q15=2,R16=1),VLOOKUP(E67,AF9:AG88,2,0),IF(AND(Q15=3,R16=1),VLOOKUP(E67,AF9:AH88,3,0),IF(AND(Q15=4,R16=1),C67,E67))))</f>
        <v>20680</v>
      </c>
      <c r="F68" s="241">
        <f>IF(Q15=1,F67,IF(AND(Q15=2,R16=2),VLOOKUP(F67,AF9:AG88,2,0),IF(AND(Q15=3,R16=2),VLOOKUP(F67,AF9:AH88,3,0),IF(AND(Q15=4,R16=2),C67,F67))))</f>
        <v>20680</v>
      </c>
      <c r="G68" s="241">
        <f>IF(Q15=1,G67,IF(AND(Q15=2,R16=3),VLOOKUP(G67,AF9:AG88,2,0),IF(AND(Q15=3,R16=3),VLOOKUP(G67,AF9:AH88,3,0),IF(AND(Q15=4,R16=3),C67,G67))))</f>
        <v>20680</v>
      </c>
      <c r="H68" s="241">
        <f>IF(Q15=1,H67,IF(AND(Q15=2,R16=4),VLOOKUP(H67,AF9:AG88,2,0),IF(AND(Q15=3,R16=4),VLOOKUP(H67,AF9:AH88,3,0),IF(AND(Q15=4,R16=4),C67,H67))))</f>
        <v>20680</v>
      </c>
      <c r="I68" s="241">
        <f>IF(Q15=1,I67,IF(AND(Q15=2,R16=5),VLOOKUP(I67,AF9:AG88,2,0),IF(AND(Q15=3,R16=5),VLOOKUP(I67,AF9:AH88,3,0),IF(AND(Q15=4,R16=5),C67,I67))))</f>
        <v>20680</v>
      </c>
      <c r="J68" s="241">
        <f>IF(Q15=1,J67,IF(AND(Q15=2,R16=6),VLOOKUP(J67,AF9:AG88,2,0),IF(AND(Q15=3,R16=6),VLOOKUP(J67,AF9:AH88,3,0),IF(AND(Q15=4,R16=6),C67,J67))))</f>
        <v>20680</v>
      </c>
      <c r="K68" s="241">
        <f>IF(Q15=1,K67,IF(AND(Q15=2,R16=7),VLOOKUP(K67,AF9:AG88,2,0),IF(AND(Q15=3,R16=7),VLOOKUP(K67,AF9:AH88,3,0),IF(AND(Q15=4,R16=7),C67,K67))))</f>
        <v>20680</v>
      </c>
      <c r="L68" s="241">
        <f>IF(Q15=1,L67,IF(AND(Q15=2,R16=8),VLOOKUP(L67,AF9:AG88,2,0),IF(AND(Q15=3,R16=8),VLOOKUP(L67,AF9:AH88,3,0),IF(AND(Q15=4,R16=8),C67,L67))))</f>
        <v>20680</v>
      </c>
      <c r="M68" s="241">
        <f>IF(Q15=1,M67,IF(AND(Q15=2,R16=9),VLOOKUP(M67,AF9:AG88,2,0),IF(AND(Q15=3,R16=9),VLOOKUP(M67,AF9:AH88,3,0),IF(AND(Q15=4,R16=9),C67,M67))))</f>
        <v>20680</v>
      </c>
      <c r="N68" s="241">
        <f>IF(Q15=1,N67,IF(AND(Q15=2,R16=10),VLOOKUP(N67,AF9:AG88,2,0),IF(AND(Q15=3,R16=10),VLOOKUP(N67,AF9:AH88,3,0),IF(AND(Q15=4,R16=10),C67,N67))))</f>
        <v>20680</v>
      </c>
      <c r="O68" s="241">
        <f>IF(Q15=1,O67,IF(AND(Q15=2,R16=11),VLOOKUP(O67,AF9:AG88,2,0),IF(AND(Q15=3,R16=11),VLOOKUP(O67,AF9:AH88,3,0),IF(AND(Q15=4,R16=11),C67,O67))))</f>
        <v>21250</v>
      </c>
      <c r="P68" s="241">
        <f>IF(Q15=1,P67,IF(AND(Q15=2,R16=12),VLOOKUP(P67,AF9:AG88,2,0),IF(AND(Q15=3,R16=12),VLOOKUP(P67,AF9:AH88,3,0),IF(AND(Q15=4,R16=12),C67,P67))))</f>
        <v>21250</v>
      </c>
      <c r="Q68" s="241">
        <f>IF(Q15=1,Q67,IF(AND(Q15=2,R16=13),VLOOKUP(Q67,AF9:AG88,2,0),IF(AND(Q15=3,R16=13),VLOOKUP(Q67,AF9:AH88,3,0),IF(AND(Q15=4,R16=13),C67,Q67))))</f>
        <v>21250</v>
      </c>
      <c r="R68" s="241">
        <f>IF(Q15=1,R67,IF(AND(Q15=2,R16=14),VLOOKUP(R67,AF9:AG88,2,0),IF(AND(Q15=3,R16=14),VLOOKUP(R67,AF9:AH88,3,0),IF(AND(Q15=4,R16=14),C67,R67))))</f>
        <v>21250</v>
      </c>
      <c r="T68" s="241" t="s">
        <v>132</v>
      </c>
      <c r="X68" s="258">
        <f>Sheet2!E61</f>
        <v>200000</v>
      </c>
      <c r="Y68" s="309">
        <f>'it data'!J32</f>
        <v>0</v>
      </c>
      <c r="Z68" s="241">
        <f>MIN(X68,Y68)</f>
        <v>0</v>
      </c>
      <c r="AA68" s="241">
        <f>IF(Y68=0,0,Z68)</f>
        <v>0</v>
      </c>
      <c r="AB68" s="241">
        <v>60</v>
      </c>
      <c r="AC68" s="241">
        <f>'it data'!C105</f>
        <v>34050</v>
      </c>
      <c r="AD68" s="241">
        <v>18025</v>
      </c>
      <c r="AE68" s="241">
        <v>18575</v>
      </c>
      <c r="AF68" s="241">
        <f t="shared" si="9"/>
        <v>34050</v>
      </c>
      <c r="AG68" s="241">
        <f t="shared" si="10"/>
        <v>34900</v>
      </c>
      <c r="AH68" s="241">
        <f t="shared" si="11"/>
        <v>35800</v>
      </c>
      <c r="AO68" s="258"/>
    </row>
    <row r="69" spans="28:41" ht="15">
      <c r="AB69" s="241">
        <v>61</v>
      </c>
      <c r="AC69" s="241">
        <f>'it data'!C106</f>
        <v>34900</v>
      </c>
      <c r="AD69" s="241">
        <v>18575</v>
      </c>
      <c r="AE69" s="241">
        <v>19125</v>
      </c>
      <c r="AF69" s="241">
        <f t="shared" si="9"/>
        <v>34900</v>
      </c>
      <c r="AG69" s="241">
        <f t="shared" si="10"/>
        <v>35800</v>
      </c>
      <c r="AH69" s="241">
        <f t="shared" si="11"/>
        <v>36700</v>
      </c>
      <c r="AO69" s="258"/>
    </row>
    <row r="70" spans="18:41" ht="15">
      <c r="R70" s="309" t="s">
        <v>125</v>
      </c>
      <c r="S70" s="241">
        <v>1</v>
      </c>
      <c r="T70" s="241" t="str">
        <f>VLOOKUP(S70,S71:T72,2,0)</f>
        <v>80DD-Treatment of Handicapped Dependent-above 40%disability</v>
      </c>
      <c r="X70" s="258">
        <f>VLOOKUP(S70,S71:Y72,7,0)</f>
        <v>50000</v>
      </c>
      <c r="Y70" s="309">
        <f>'it data'!J29</f>
        <v>0</v>
      </c>
      <c r="Z70" s="241">
        <f>MIN(X70,Y70)</f>
        <v>0</v>
      </c>
      <c r="AA70" s="241">
        <f>IF(Y70=0,0,Z70)</f>
        <v>0</v>
      </c>
      <c r="AB70" s="241">
        <v>62</v>
      </c>
      <c r="AC70" s="241">
        <f>'it data'!C107</f>
        <v>35800</v>
      </c>
      <c r="AD70" s="241">
        <v>19125</v>
      </c>
      <c r="AE70" s="241">
        <v>19675</v>
      </c>
      <c r="AF70" s="241">
        <f t="shared" si="9"/>
        <v>35800</v>
      </c>
      <c r="AG70" s="241">
        <f t="shared" si="10"/>
        <v>36700</v>
      </c>
      <c r="AH70" s="241">
        <f t="shared" si="11"/>
        <v>37600</v>
      </c>
      <c r="AO70" s="258"/>
    </row>
    <row r="71" spans="8:41" ht="15">
      <c r="H71" s="241">
        <f>VLOOKUP(Q14,D90:K104,8,0)</f>
        <v>0</v>
      </c>
      <c r="I71" s="241">
        <f>R14</f>
        <v>14</v>
      </c>
      <c r="P71" s="241" t="s">
        <v>334</v>
      </c>
      <c r="Q71" s="241" t="s">
        <v>332</v>
      </c>
      <c r="S71" s="241">
        <v>1</v>
      </c>
      <c r="T71" s="241" t="s">
        <v>335</v>
      </c>
      <c r="Y71" s="258">
        <f>Sheet2!E62</f>
        <v>50000</v>
      </c>
      <c r="AB71" s="241">
        <v>63</v>
      </c>
      <c r="AC71" s="241">
        <f>'it data'!C108</f>
        <v>36700</v>
      </c>
      <c r="AD71" s="241">
        <v>19675</v>
      </c>
      <c r="AE71" s="241">
        <v>20300</v>
      </c>
      <c r="AF71" s="241">
        <f t="shared" si="9"/>
        <v>36700</v>
      </c>
      <c r="AG71" s="241">
        <f t="shared" si="10"/>
        <v>37600</v>
      </c>
      <c r="AH71" s="241">
        <f t="shared" si="11"/>
        <v>38570</v>
      </c>
      <c r="AO71" s="258"/>
    </row>
    <row r="72" spans="4:41" ht="15">
      <c r="D72" s="241" t="s">
        <v>336</v>
      </c>
      <c r="F72" s="241" t="s">
        <v>337</v>
      </c>
      <c r="J72" s="241" t="s">
        <v>148</v>
      </c>
      <c r="K72" s="241" t="s">
        <v>149</v>
      </c>
      <c r="S72" s="241">
        <v>2</v>
      </c>
      <c r="T72" s="241" t="s">
        <v>338</v>
      </c>
      <c r="Y72" s="258">
        <f>Sheet2!E63</f>
        <v>100000</v>
      </c>
      <c r="AB72" s="241">
        <v>64</v>
      </c>
      <c r="AC72" s="241">
        <f>'it data'!C109</f>
        <v>37600</v>
      </c>
      <c r="AD72" s="241">
        <v>20300</v>
      </c>
      <c r="AE72" s="241">
        <v>20925</v>
      </c>
      <c r="AF72" s="241">
        <f t="shared" si="9"/>
        <v>37600</v>
      </c>
      <c r="AG72" s="241">
        <f t="shared" si="10"/>
        <v>38570</v>
      </c>
      <c r="AH72" s="241">
        <f t="shared" si="11"/>
        <v>39540</v>
      </c>
      <c r="AO72" s="258"/>
    </row>
    <row r="73" spans="5:41" ht="15">
      <c r="E73" s="241" t="s">
        <v>267</v>
      </c>
      <c r="F73" s="241">
        <f>IF(Q14&lt;=3,0,HLOOKUP(Q14,G62:R68,5,0))</f>
        <v>0</v>
      </c>
      <c r="G73" s="241">
        <f>IF(Q14&lt;=3,0,ROUND(F73/H71*H75,0))</f>
        <v>0</v>
      </c>
      <c r="N73" s="241">
        <f>IF(Q14&lt;=1,0,HLOOKUP(Q14,E62:R68,5,0))</f>
        <v>0</v>
      </c>
      <c r="O73" s="241">
        <f>IF(Q14&lt;=1,0,ROUND(N73*H75/H71,0))</f>
        <v>0</v>
      </c>
      <c r="AB73" s="241">
        <v>65</v>
      </c>
      <c r="AC73" s="241">
        <f>'it data'!C110</f>
        <v>38570</v>
      </c>
      <c r="AD73" s="241">
        <v>20925</v>
      </c>
      <c r="AE73" s="241">
        <v>21550</v>
      </c>
      <c r="AF73" s="241">
        <f aca="true" t="shared" si="12" ref="AF73:AF88">AC73</f>
        <v>38570</v>
      </c>
      <c r="AG73" s="241">
        <f aca="true" t="shared" si="13" ref="AG73:AG88">AC74</f>
        <v>39540</v>
      </c>
      <c r="AH73" s="241">
        <f aca="true" t="shared" si="14" ref="AH73:AH87">AC75</f>
        <v>40510</v>
      </c>
      <c r="AO73" s="258"/>
    </row>
    <row r="74" spans="18:41" ht="15">
      <c r="R74" s="309" t="s">
        <v>137</v>
      </c>
      <c r="S74" s="241">
        <v>2</v>
      </c>
      <c r="T74" s="241" t="str">
        <f>VLOOKUP(S74,S76:T77,2,0)</f>
        <v>80U-deductions for disabled Person(blind,PH)-&gt; 80% disability </v>
      </c>
      <c r="X74" s="258">
        <f>VLOOKUP(S74,X76:Y77,2,0)</f>
        <v>75000</v>
      </c>
      <c r="Y74" s="309">
        <f>'it data'!J30</f>
        <v>0</v>
      </c>
      <c r="Z74" s="241">
        <f>MIN(X74,Y74)</f>
        <v>0</v>
      </c>
      <c r="AA74" s="241">
        <f>IF(Y74=0,0,Z74)</f>
        <v>0</v>
      </c>
      <c r="AB74" s="241">
        <v>66</v>
      </c>
      <c r="AC74" s="241">
        <f>'it data'!C111</f>
        <v>39540</v>
      </c>
      <c r="AD74" s="241">
        <v>21550</v>
      </c>
      <c r="AE74" s="241">
        <v>22175</v>
      </c>
      <c r="AF74" s="241">
        <f t="shared" si="12"/>
        <v>39540</v>
      </c>
      <c r="AG74" s="241">
        <f t="shared" si="13"/>
        <v>40510</v>
      </c>
      <c r="AH74" s="241">
        <f t="shared" si="14"/>
        <v>41550</v>
      </c>
      <c r="AO74" s="258"/>
    </row>
    <row r="75" spans="5:40" ht="15">
      <c r="E75" s="241" t="s">
        <v>268</v>
      </c>
      <c r="F75" s="241">
        <f>IF(Q14&lt;=3,0,HLOOKUP(Q14,G62:R68,6,0))</f>
        <v>0</v>
      </c>
      <c r="G75" s="241">
        <f>IF(Q14&lt;=3,0,ROUND(F75/H71*H75,0))</f>
        <v>0</v>
      </c>
      <c r="H75" s="241">
        <f>SUM(H71-I71,1)</f>
        <v>-13</v>
      </c>
      <c r="J75" s="241">
        <f>IF(Q14&lt;=3,0,INDEX(G112:G126,Q14,0))</f>
        <v>0</v>
      </c>
      <c r="K75" s="241">
        <f>IF(Q14&lt;=3,0,INDEX(I90:I104,Q14,0))</f>
        <v>0</v>
      </c>
      <c r="M75" s="241" t="s">
        <v>339</v>
      </c>
      <c r="N75" s="241">
        <f>IF(Q14&lt;=1,0,HLOOKUP(Q14,E62:R68,6,0))</f>
        <v>0</v>
      </c>
      <c r="O75" s="241">
        <f>IF(Q14&lt;=1,0,ROUND(N75*H75/H71,0))</f>
        <v>0</v>
      </c>
      <c r="P75" s="241" t="s">
        <v>340</v>
      </c>
      <c r="Q75" s="241" t="s">
        <v>341</v>
      </c>
      <c r="R75" s="241" t="s">
        <v>342</v>
      </c>
      <c r="AB75" s="241">
        <v>67</v>
      </c>
      <c r="AC75" s="241">
        <f>'it data'!C112</f>
        <v>40510</v>
      </c>
      <c r="AD75" s="241">
        <v>22175</v>
      </c>
      <c r="AE75" s="241">
        <v>22800</v>
      </c>
      <c r="AF75" s="241">
        <f t="shared" si="12"/>
        <v>40510</v>
      </c>
      <c r="AG75" s="241">
        <f t="shared" si="13"/>
        <v>41550</v>
      </c>
      <c r="AH75" s="241">
        <f t="shared" si="14"/>
        <v>42590</v>
      </c>
      <c r="AN75" s="317"/>
    </row>
    <row r="76" spans="14:34" ht="15">
      <c r="N76" s="241" t="s">
        <v>343</v>
      </c>
      <c r="O76" s="241">
        <f>SUM(O75-O73)</f>
        <v>0</v>
      </c>
      <c r="P76" s="241">
        <f>ROUND(J140*F112%,0)</f>
        <v>0</v>
      </c>
      <c r="Q76" s="241">
        <f>ROUND(J140*E112%,0)</f>
        <v>0</v>
      </c>
      <c r="R76" s="241">
        <f>SUM(P76-Q76)</f>
        <v>0</v>
      </c>
      <c r="S76" s="241">
        <v>1</v>
      </c>
      <c r="T76" s="309" t="s">
        <v>344</v>
      </c>
      <c r="X76" s="241">
        <v>1</v>
      </c>
      <c r="Y76" s="258">
        <f>Sheet2!E64</f>
        <v>50000</v>
      </c>
      <c r="AB76" s="241">
        <v>68</v>
      </c>
      <c r="AC76" s="241">
        <f>'it data'!C113</f>
        <v>41550</v>
      </c>
      <c r="AD76" s="241">
        <v>22800</v>
      </c>
      <c r="AE76" s="241">
        <v>23500</v>
      </c>
      <c r="AF76" s="241">
        <f t="shared" si="12"/>
        <v>41550</v>
      </c>
      <c r="AG76" s="241">
        <f t="shared" si="13"/>
        <v>42590</v>
      </c>
      <c r="AH76" s="241">
        <f t="shared" si="14"/>
        <v>43630</v>
      </c>
    </row>
    <row r="77" spans="5:34" ht="15">
      <c r="E77" s="241" t="str">
        <f>" AAS Arrears "&amp;(IF(Q14&lt;=3,""," "&amp;(I71&amp;"-"&amp;(IF(Q14&lt;=3,"",H71)&amp;" /"&amp;(F78)&amp;""))))</f>
        <v> AAS Arrears </v>
      </c>
      <c r="G77" s="241">
        <f>SUM(G75-G73)</f>
        <v>0</v>
      </c>
      <c r="J77" s="241">
        <f>ROUND(G77*J75%,0)</f>
        <v>0</v>
      </c>
      <c r="K77" s="241">
        <f>ROUND(G77*K75%,0)</f>
        <v>0</v>
      </c>
      <c r="L77" s="241">
        <f>SUM(G77:K77)</f>
        <v>0</v>
      </c>
      <c r="N77" s="241" t="s">
        <v>345</v>
      </c>
      <c r="O77" s="241">
        <f>SUM(O75-O73)</f>
        <v>0</v>
      </c>
      <c r="P77" s="241">
        <f>ROUND(J142*G112%,0)</f>
        <v>0</v>
      </c>
      <c r="Q77" s="241">
        <f>ROUND(J142*F112%,0)</f>
        <v>0</v>
      </c>
      <c r="R77" s="241">
        <f>SUM(P77-Q77)</f>
        <v>0</v>
      </c>
      <c r="S77" s="241">
        <v>2</v>
      </c>
      <c r="T77" s="309" t="s">
        <v>346</v>
      </c>
      <c r="X77" s="241">
        <v>2</v>
      </c>
      <c r="Y77" s="258">
        <f>Sheet2!E65</f>
        <v>75000</v>
      </c>
      <c r="AB77" s="241">
        <v>69</v>
      </c>
      <c r="AC77" s="241">
        <f>'it data'!C114</f>
        <v>42590</v>
      </c>
      <c r="AD77" s="241">
        <v>23500</v>
      </c>
      <c r="AE77" s="241">
        <v>24200</v>
      </c>
      <c r="AF77" s="241">
        <f t="shared" si="12"/>
        <v>42590</v>
      </c>
      <c r="AG77" s="241">
        <f t="shared" si="13"/>
        <v>43630</v>
      </c>
      <c r="AH77" s="241">
        <f t="shared" si="14"/>
        <v>44740</v>
      </c>
    </row>
    <row r="78" spans="5:34" ht="15">
      <c r="E78" s="241">
        <f>IF(Q14&lt;=3,"",INDEX(C90:C104,Q14,0))</f>
      </c>
      <c r="F78" s="241">
        <f>TEXT(E78,"mmm,yy")</f>
      </c>
      <c r="T78" s="241" t="str">
        <f>IF(S74=1,T79,T80)</f>
        <v>80U-deductions for disabled Person(blind,PH)-above 80%disability</v>
      </c>
      <c r="AB78" s="241">
        <v>70</v>
      </c>
      <c r="AC78" s="241">
        <f>'it data'!C115</f>
        <v>43630</v>
      </c>
      <c r="AD78" s="241">
        <v>24200</v>
      </c>
      <c r="AE78" s="241">
        <v>24900</v>
      </c>
      <c r="AF78" s="241">
        <f t="shared" si="12"/>
        <v>43630</v>
      </c>
      <c r="AG78" s="241">
        <f t="shared" si="13"/>
        <v>44740</v>
      </c>
      <c r="AH78" s="241">
        <f t="shared" si="14"/>
        <v>45850</v>
      </c>
    </row>
    <row r="79" spans="7:34" ht="15">
      <c r="G79" s="241">
        <f>IF(R16=15,0,INDEX(K91:K104,R16,0))</f>
        <v>31</v>
      </c>
      <c r="H79" s="241">
        <f>Q16</f>
        <v>2</v>
      </c>
      <c r="I79" s="241">
        <f>IF(R16=15,0,SUM(G79-H79,1))</f>
        <v>30</v>
      </c>
      <c r="M79" s="241" t="s">
        <v>347</v>
      </c>
      <c r="N79" s="241">
        <f>IF(OR(Q15=1,R16=15),0,HLOOKUP(R16,E61:R68,7,0))</f>
        <v>0</v>
      </c>
      <c r="O79" s="241">
        <f>IF(OR(Q15=1,R16=15),0,ROUND(N79*I79/G79,0))</f>
        <v>0</v>
      </c>
      <c r="S79" s="241">
        <v>1</v>
      </c>
      <c r="T79" s="241" t="s">
        <v>348</v>
      </c>
      <c r="AB79" s="241">
        <v>71</v>
      </c>
      <c r="AC79" s="241">
        <f>'it data'!C116</f>
        <v>44740</v>
      </c>
      <c r="AD79" s="241">
        <v>24900</v>
      </c>
      <c r="AE79" s="241">
        <v>25600</v>
      </c>
      <c r="AF79" s="241">
        <f t="shared" si="12"/>
        <v>44740</v>
      </c>
      <c r="AG79" s="241">
        <f t="shared" si="13"/>
        <v>45850</v>
      </c>
      <c r="AH79" s="241">
        <f t="shared" si="14"/>
        <v>46960</v>
      </c>
    </row>
    <row r="80" spans="4:34" ht="15">
      <c r="D80" s="241" t="s">
        <v>349</v>
      </c>
      <c r="F80" s="241">
        <f>IF(Q15=1,0,IF(OR(R16&lt;=2,R16=15),0,HLOOKUP(R16,G61:R68,7,0)))</f>
        <v>0</v>
      </c>
      <c r="G80" s="241">
        <f>IF(R16=15,0,ROUND(F80/G79*I79,0))</f>
        <v>0</v>
      </c>
      <c r="N80" s="241">
        <f>IF(OR(Q15=1,R16=15),0,HLOOKUP(R16,E61:R68,8,0))</f>
        <v>0</v>
      </c>
      <c r="O80" s="241">
        <f>IF(OR(Q15=1,R16=15),0,ROUND(N80*I79/G79,0))</f>
        <v>0</v>
      </c>
      <c r="S80" s="241">
        <v>2</v>
      </c>
      <c r="T80" s="241" t="s">
        <v>350</v>
      </c>
      <c r="AB80" s="241">
        <v>72</v>
      </c>
      <c r="AC80" s="241">
        <f>'it data'!C117</f>
        <v>45850</v>
      </c>
      <c r="AD80" s="241">
        <v>25600</v>
      </c>
      <c r="AE80" s="241">
        <v>26300</v>
      </c>
      <c r="AF80" s="241">
        <f t="shared" si="12"/>
        <v>45850</v>
      </c>
      <c r="AG80" s="241">
        <f t="shared" si="13"/>
        <v>46960</v>
      </c>
      <c r="AH80" s="241">
        <f t="shared" si="14"/>
        <v>48160</v>
      </c>
    </row>
    <row r="81" spans="10:34" ht="15">
      <c r="J81" s="241">
        <f>IF(Q15=1,0,IF(OR(R16&lt;=2,R16=15),0,INDEX(G113:G126,R16,0)))</f>
        <v>0</v>
      </c>
      <c r="K81" s="241">
        <f>IF(Q15=1,0,IF(OR(R16&lt;=2,R16=15),0,INDEX(I91:I104,R16,0)))</f>
        <v>0</v>
      </c>
      <c r="N81" s="241" t="s">
        <v>343</v>
      </c>
      <c r="O81" s="241">
        <f>SUM(O80-O79)</f>
        <v>0</v>
      </c>
      <c r="P81" s="241">
        <f>IF(R16=15,0,ROUND(N140*F112%,0))</f>
        <v>0</v>
      </c>
      <c r="Q81" s="241">
        <f>IF(R16=15,0,ROUND(N140*E112%,0))</f>
        <v>0</v>
      </c>
      <c r="R81" s="241">
        <f>SUM(P81-Q81)</f>
        <v>0</v>
      </c>
      <c r="AB81" s="241">
        <v>73</v>
      </c>
      <c r="AC81" s="241">
        <f>'it data'!C118</f>
        <v>46960</v>
      </c>
      <c r="AD81" s="241">
        <v>26300</v>
      </c>
      <c r="AE81" s="241">
        <v>27000</v>
      </c>
      <c r="AF81" s="241">
        <f t="shared" si="12"/>
        <v>46960</v>
      </c>
      <c r="AG81" s="241">
        <f t="shared" si="13"/>
        <v>48160</v>
      </c>
      <c r="AH81" s="241">
        <f t="shared" si="14"/>
        <v>49360</v>
      </c>
    </row>
    <row r="82" spans="6:34" ht="15">
      <c r="F82" s="241">
        <f>IF(Q15=1,0,IF(OR(R16&lt;=2,R16=15),0,HLOOKUP(R16,G61:R68,8,0)))</f>
        <v>0</v>
      </c>
      <c r="G82" s="241">
        <f>IF(R16=15,0,ROUND(F82/G79*I79,0))</f>
        <v>0</v>
      </c>
      <c r="N82" s="241" t="s">
        <v>345</v>
      </c>
      <c r="O82" s="241">
        <f>SUM(O80-O79)</f>
        <v>0</v>
      </c>
      <c r="P82" s="241">
        <f>IF(R16=15,0,ROUND(N142*G112%,0))</f>
        <v>0</v>
      </c>
      <c r="Q82" s="241">
        <f>IF(R16=15,0,ROUND(N142*F112%,0))</f>
        <v>0</v>
      </c>
      <c r="R82" s="241">
        <f>SUM(P82-Q82)</f>
        <v>0</v>
      </c>
      <c r="AB82" s="241">
        <v>74</v>
      </c>
      <c r="AC82" s="241">
        <f>'it data'!C119</f>
        <v>48160</v>
      </c>
      <c r="AD82" s="241">
        <v>27000</v>
      </c>
      <c r="AE82" s="241">
        <v>27750</v>
      </c>
      <c r="AF82" s="241">
        <f t="shared" si="12"/>
        <v>48160</v>
      </c>
      <c r="AG82" s="241">
        <f t="shared" si="13"/>
        <v>49360</v>
      </c>
      <c r="AH82" s="241">
        <f t="shared" si="14"/>
        <v>50560</v>
      </c>
    </row>
    <row r="83" spans="4:34" ht="15">
      <c r="D83" s="241" t="str">
        <f>IF(Q15=1,"Promotion Arrears",IF(R16&lt;=2,"Promotion Arrears",C84))</f>
        <v>Promotion Arrears</v>
      </c>
      <c r="AB83" s="241">
        <v>75</v>
      </c>
      <c r="AC83" s="241">
        <f>'it data'!C120</f>
        <v>49360</v>
      </c>
      <c r="AD83" s="241">
        <v>27750</v>
      </c>
      <c r="AE83" s="241">
        <v>28500</v>
      </c>
      <c r="AF83" s="241">
        <f t="shared" si="12"/>
        <v>49360</v>
      </c>
      <c r="AG83" s="241">
        <f t="shared" si="13"/>
        <v>50560</v>
      </c>
      <c r="AH83" s="241">
        <f t="shared" si="14"/>
        <v>51760</v>
      </c>
    </row>
    <row r="84" spans="3:34" ht="15">
      <c r="C84" s="241" t="str">
        <f>" Promotion Arrears "&amp;(IF(OR(R16&lt;=2,R16=15,Q15=1),""," "&amp;(H79)&amp;"- "&amp;(G79)&amp;" /"&amp;(TEXT(E85,"mmm,yy"))&amp;""))</f>
        <v> Promotion Arrears </v>
      </c>
      <c r="G84" s="241">
        <f>SUM(G82-G80)</f>
        <v>0</v>
      </c>
      <c r="J84" s="241">
        <f>ROUND(G84*J81%,0)</f>
        <v>0</v>
      </c>
      <c r="K84" s="241">
        <f>ROUND(G84*K81%,0)</f>
        <v>0</v>
      </c>
      <c r="L84" s="241">
        <f>SUM(G84:K84)</f>
        <v>0</v>
      </c>
      <c r="M84" s="241" t="s">
        <v>351</v>
      </c>
      <c r="AB84" s="241">
        <v>76</v>
      </c>
      <c r="AC84" s="241">
        <f>'it data'!C121</f>
        <v>50560</v>
      </c>
      <c r="AD84" s="241">
        <v>28500</v>
      </c>
      <c r="AE84" s="241">
        <v>29250</v>
      </c>
      <c r="AF84" s="241">
        <f t="shared" si="12"/>
        <v>50560</v>
      </c>
      <c r="AG84" s="241">
        <f t="shared" si="13"/>
        <v>51760</v>
      </c>
      <c r="AH84" s="241">
        <f t="shared" si="14"/>
        <v>53060</v>
      </c>
    </row>
    <row r="85" spans="2:34" ht="15">
      <c r="B85" s="318">
        <f>DATE(YEAR(C89),MONTH(C89),DAY(C89))</f>
        <v>41640</v>
      </c>
      <c r="E85" s="241">
        <f>IF(OR(R16&lt;=2,R16=15),"",INDEX(F91:F104,R16,0))</f>
        <v>41974</v>
      </c>
      <c r="O85" s="241">
        <f>U140</f>
        <v>0</v>
      </c>
      <c r="P85" s="241">
        <f>ROUND(O85*F112%,0)</f>
        <v>0</v>
      </c>
      <c r="Q85" s="241">
        <f>ROUND(O85*E112%,0)</f>
        <v>0</v>
      </c>
      <c r="R85" s="241">
        <f>SUM(P85-Q85)</f>
        <v>0</v>
      </c>
      <c r="U85" s="241">
        <v>2</v>
      </c>
      <c r="AB85" s="241">
        <v>77</v>
      </c>
      <c r="AC85" s="241">
        <f>'it data'!C122</f>
        <v>51760</v>
      </c>
      <c r="AD85" s="241">
        <v>29250</v>
      </c>
      <c r="AE85" s="241">
        <v>30000</v>
      </c>
      <c r="AF85" s="241">
        <f t="shared" si="12"/>
        <v>51760</v>
      </c>
      <c r="AG85" s="241">
        <f t="shared" si="13"/>
        <v>53060</v>
      </c>
      <c r="AH85" s="241">
        <f t="shared" si="14"/>
        <v>54360</v>
      </c>
    </row>
    <row r="86" spans="2:34" ht="15">
      <c r="B86" s="241" t="str">
        <f>TEXT(B85,"MMM-yyyy")</f>
        <v>Jan-2014</v>
      </c>
      <c r="O86" s="241">
        <f>U142</f>
        <v>0</v>
      </c>
      <c r="P86" s="241">
        <f>ROUND(O86*G112%,0)</f>
        <v>0</v>
      </c>
      <c r="Q86" s="241">
        <f>ROUND(O86*F112%,0)</f>
        <v>0</v>
      </c>
      <c r="R86" s="241">
        <f>SUM(P86-Q86)</f>
        <v>0</v>
      </c>
      <c r="U86" s="319" t="s">
        <v>352</v>
      </c>
      <c r="Z86" s="241" t="s">
        <v>353</v>
      </c>
      <c r="AA86" s="241" t="s">
        <v>353</v>
      </c>
      <c r="AB86" s="241">
        <v>78</v>
      </c>
      <c r="AC86" s="241">
        <f>'it data'!C123</f>
        <v>53060</v>
      </c>
      <c r="AD86" s="241">
        <v>30000</v>
      </c>
      <c r="AE86" s="241">
        <v>30765</v>
      </c>
      <c r="AF86" s="241">
        <f t="shared" si="12"/>
        <v>53060</v>
      </c>
      <c r="AG86" s="241">
        <f t="shared" si="13"/>
        <v>54360</v>
      </c>
      <c r="AH86" s="241">
        <f t="shared" si="14"/>
        <v>55660</v>
      </c>
    </row>
    <row r="87" spans="21:34" ht="15">
      <c r="U87" s="319" t="s">
        <v>354</v>
      </c>
      <c r="Z87" s="320">
        <f>'it data'!D40</f>
        <v>2</v>
      </c>
      <c r="AA87" s="320">
        <f>'it data'!D39</f>
        <v>1</v>
      </c>
      <c r="AB87" s="241">
        <v>79</v>
      </c>
      <c r="AC87" s="241">
        <f>'it data'!C124</f>
        <v>54360</v>
      </c>
      <c r="AD87" s="241">
        <v>30765</v>
      </c>
      <c r="AF87" s="241">
        <f t="shared" si="12"/>
        <v>54360</v>
      </c>
      <c r="AG87" s="241">
        <f t="shared" si="13"/>
        <v>55660</v>
      </c>
      <c r="AH87" s="241">
        <f t="shared" si="14"/>
        <v>56960</v>
      </c>
    </row>
    <row r="88" spans="2:34" ht="15">
      <c r="B88" s="241">
        <v>1</v>
      </c>
      <c r="C88" s="241">
        <v>1</v>
      </c>
      <c r="D88" s="241">
        <f>'it data'!H5</f>
        <v>2014</v>
      </c>
      <c r="W88" s="241" t="s">
        <v>355</v>
      </c>
      <c r="X88" s="241">
        <v>10</v>
      </c>
      <c r="Z88" s="241" t="s">
        <v>356</v>
      </c>
      <c r="AA88" s="241" t="s">
        <v>357</v>
      </c>
      <c r="AB88" s="241">
        <v>80</v>
      </c>
      <c r="AC88" s="241">
        <f>'it data'!C125</f>
        <v>55660</v>
      </c>
      <c r="AF88" s="241">
        <f t="shared" si="12"/>
        <v>55660</v>
      </c>
      <c r="AG88" s="241">
        <f t="shared" si="13"/>
        <v>56960</v>
      </c>
      <c r="AH88" s="241">
        <f>AG88</f>
        <v>56960</v>
      </c>
    </row>
    <row r="89" spans="2:29" ht="15">
      <c r="B89" s="318">
        <v>40633</v>
      </c>
      <c r="C89" s="321">
        <f>DATE(D88,C88,B88)</f>
        <v>41640</v>
      </c>
      <c r="L89" s="241" t="s">
        <v>147</v>
      </c>
      <c r="R89" s="241">
        <v>9</v>
      </c>
      <c r="S89" s="241">
        <v>1</v>
      </c>
      <c r="T89" s="241">
        <v>1</v>
      </c>
      <c r="U89" s="241">
        <v>1</v>
      </c>
      <c r="V89" s="241">
        <v>10</v>
      </c>
      <c r="W89" s="241" t="s">
        <v>358</v>
      </c>
      <c r="X89" s="241">
        <v>1</v>
      </c>
      <c r="Y89" s="241">
        <f>'it data'!B20</f>
        <v>20</v>
      </c>
      <c r="Z89" s="241">
        <f>IF(ISERROR(ROUND(SUM(Z90/Z91)*Z87,0)),0,ROUND(SUM(Z90/Z91)*Z87,0))</f>
        <v>1417</v>
      </c>
      <c r="AA89" s="241">
        <f>ROUND(SUM(AA90/AA91)*AA87,0)</f>
        <v>667</v>
      </c>
      <c r="AC89" s="241">
        <f>'it data'!C126</f>
        <v>56960</v>
      </c>
    </row>
    <row r="90" spans="3:27" ht="15">
      <c r="C90" s="304"/>
      <c r="D90" s="241">
        <v>1</v>
      </c>
      <c r="E90" s="241" t="s">
        <v>225</v>
      </c>
      <c r="H90" s="322">
        <f>IF(AND(F41=1,G91=1),10,IF(AND(F41=1,G91=500),12,IF(AND(F41=2,G91=1),12.5,IF(AND(F41=2,G91=500),14.5,IF(AND(F41=3),20,IF(AND(F41=4),30,0))))))</f>
        <v>12</v>
      </c>
      <c r="M90" s="241" t="s">
        <v>315</v>
      </c>
      <c r="O90" s="241" t="s">
        <v>211</v>
      </c>
      <c r="R90" s="320">
        <v>0</v>
      </c>
      <c r="S90" s="241" t="str">
        <f>'it data'!B16</f>
        <v> </v>
      </c>
      <c r="T90" s="241" t="str">
        <f>'it data'!B17</f>
        <v> </v>
      </c>
      <c r="U90" s="241" t="str">
        <f>'it data'!B18</f>
        <v> </v>
      </c>
      <c r="V90" s="241" t="str">
        <f>'it data'!B19</f>
        <v> </v>
      </c>
      <c r="W90" s="241" t="s">
        <v>359</v>
      </c>
      <c r="X90" s="241">
        <v>10</v>
      </c>
      <c r="Y90" s="241">
        <f>'it data'!E20</f>
        <v>20</v>
      </c>
      <c r="Z90" s="241">
        <f>IF(X88=1,0,INDEX(L92:L104,X88,0))</f>
        <v>21250</v>
      </c>
      <c r="AA90" s="241">
        <f>INDEX(L93:L104,X91,0)</f>
        <v>20680</v>
      </c>
    </row>
    <row r="91" spans="1:35" ht="15">
      <c r="A91" s="241">
        <v>1</v>
      </c>
      <c r="C91" s="323">
        <f>DATE(YEAR(C89),MONTH(C89)+1,DAY(0))</f>
        <v>41670</v>
      </c>
      <c r="D91" s="241">
        <v>2</v>
      </c>
      <c r="E91" s="241" t="str">
        <f>TEXT(C91,"mmm-yyyy")</f>
        <v>Jan-2014</v>
      </c>
      <c r="F91" s="241">
        <f>DATEVALUE(E91)</f>
        <v>41640</v>
      </c>
      <c r="G91" s="241">
        <f>IF(F91&gt;=D58,500,1)</f>
        <v>500</v>
      </c>
      <c r="H91" s="241">
        <f>IF(AND(F47&gt;1,F91&gt;=H48),IF(AND(F47=2,G91=1),10,IF(AND(F47=2,G91=500),12,IF(AND(F47=3,G91=1),12.5,IF(AND(F47=3,G91=500),14.5,IF(AND(F47=4),20,IF(AND(F47=5),30,0)))))),IF(AND(F41=1,G91=1),10,IF(AND(F41=1,G91=500),12,IF(AND(F41=2,G91=1),12.5,IF(AND(F41=2,G91=500),14.5,IF(AND(F41=3),20,IF(AND(F41=4),30)))))))</f>
        <v>12</v>
      </c>
      <c r="I91" s="241">
        <f>IF(F91=H48,E50,H91)</f>
        <v>12</v>
      </c>
      <c r="K91" s="241">
        <f aca="true" t="shared" si="15" ref="K91:K104">DAY(C91)</f>
        <v>31</v>
      </c>
      <c r="L91" s="241">
        <f>MAX(E64:E66)</f>
        <v>20680</v>
      </c>
      <c r="M91" s="241">
        <f>IF(L49=1,MIN(ROUND(L91*10%,0),900),0)</f>
        <v>0</v>
      </c>
      <c r="O91" s="241">
        <v>0</v>
      </c>
      <c r="R91" s="320">
        <f>'it data'!E21</f>
        <v>90</v>
      </c>
      <c r="S91" s="241">
        <f>'it data'!E16</f>
        <v>0</v>
      </c>
      <c r="T91" s="241">
        <f>'it data'!E17</f>
        <v>0</v>
      </c>
      <c r="U91" s="241">
        <f>'it data'!E18</f>
        <v>0</v>
      </c>
      <c r="V91" s="241">
        <f>'it data'!E19</f>
        <v>0</v>
      </c>
      <c r="W91" s="241" t="s">
        <v>357</v>
      </c>
      <c r="X91" s="241">
        <v>5</v>
      </c>
      <c r="Y91" s="320">
        <f>AA89</f>
        <v>667</v>
      </c>
      <c r="Z91" s="241">
        <f>IF(X88=1,0,INDEX(K92:K104,X88,0))</f>
        <v>30</v>
      </c>
      <c r="AA91" s="241">
        <f>INDEX(K93:K104,X91,0)</f>
        <v>31</v>
      </c>
      <c r="AH91" s="241" t="s">
        <v>360</v>
      </c>
      <c r="AI91" s="241">
        <v>1</v>
      </c>
    </row>
    <row r="92" spans="1:22" ht="15">
      <c r="A92" s="241">
        <v>2</v>
      </c>
      <c r="B92" s="241">
        <v>1</v>
      </c>
      <c r="C92" s="323">
        <f aca="true" t="shared" si="16" ref="C92:C105">DATE(YEAR(C91),MONTH(C91)+2,DAY(0))</f>
        <v>41698</v>
      </c>
      <c r="D92" s="241">
        <v>3</v>
      </c>
      <c r="E92" s="241" t="str">
        <f aca="true" t="shared" si="17" ref="E92:E104">TEXT(C92,"mmm-yyyy")</f>
        <v>Feb-2014</v>
      </c>
      <c r="F92" s="241">
        <f aca="true" t="shared" si="18" ref="F92:F104">DATEVALUE(E92)</f>
        <v>41671</v>
      </c>
      <c r="G92" s="241">
        <f>IF(F92&gt;=D58,500,1)</f>
        <v>500</v>
      </c>
      <c r="H92" s="241">
        <f>IF(AND(F47&gt;1,F92&gt;=H48),IF(AND(F47=2,G92=1),10,IF(AND(F47=2,G92=500),12,IF(AND(F47=3,G92=1),12.5,IF(AND(F47=3,G92=500),14.5,IF(AND(F47=4),20,IF(AND(F47=5),30,0)))))),IF(AND(F41=1,G92=1),10,IF(AND(F41=1,G92=500),12,IF(AND(F41=2,G92=1),12.5,IF(AND(F41=2,G92=500),14.5,IF(AND(F41=3),20,IF(AND(F41=4),30)))))))</f>
        <v>12</v>
      </c>
      <c r="I92" s="241">
        <f>IF(F92=H48,E50,H92)</f>
        <v>12</v>
      </c>
      <c r="J92" s="241" t="s">
        <v>225</v>
      </c>
      <c r="K92" s="241">
        <f t="shared" si="15"/>
        <v>28</v>
      </c>
      <c r="L92" s="241">
        <f>MAX(F64:F66)</f>
        <v>20680</v>
      </c>
      <c r="M92" s="241">
        <f>IF(L49=1,MIN(ROUND(L92*10%,0),900),0)</f>
        <v>0</v>
      </c>
      <c r="N92" s="241" t="s">
        <v>315</v>
      </c>
      <c r="O92" s="241">
        <v>0</v>
      </c>
      <c r="P92" s="241" t="s">
        <v>361</v>
      </c>
      <c r="Q92" s="241" t="s">
        <v>362</v>
      </c>
      <c r="R92" s="241" t="s">
        <v>363</v>
      </c>
      <c r="S92" s="324" t="s">
        <v>283</v>
      </c>
      <c r="T92" s="241" t="s">
        <v>285</v>
      </c>
      <c r="U92" s="241" t="s">
        <v>286</v>
      </c>
      <c r="V92" s="241" t="s">
        <v>364</v>
      </c>
    </row>
    <row r="93" spans="1:33" ht="15">
      <c r="A93" s="241">
        <v>3</v>
      </c>
      <c r="B93" s="241">
        <v>2</v>
      </c>
      <c r="C93" s="323">
        <f t="shared" si="16"/>
        <v>41729</v>
      </c>
      <c r="D93" s="241">
        <v>4</v>
      </c>
      <c r="E93" s="241" t="str">
        <f t="shared" si="17"/>
        <v>Mar-2014</v>
      </c>
      <c r="F93" s="241">
        <f t="shared" si="18"/>
        <v>41699</v>
      </c>
      <c r="G93" s="241">
        <f>IF(F93&gt;=D58,500,1)</f>
        <v>500</v>
      </c>
      <c r="H93" s="241">
        <f>IF(AND(F47&gt;1,F93&gt;=H48),IF(AND(F47=2,G93=1),10,IF(AND(F47=2,G93=500),12,IF(AND(F47=3,G93=1),12.5,IF(AND(F47=3,G93=500),14.5,IF(AND(F47=4),20,IF(AND(F47=5),30,0)))))),IF(AND(F41=1,G93=1),10,IF(AND(F41=1,G93=500),12,IF(AND(F41=2,G93=1),12.5,IF(AND(F41=2,G93=500),14.5,IF(AND(F41=3),20,IF(AND(F41=4),30)))))))</f>
        <v>12</v>
      </c>
      <c r="I93" s="241">
        <f>IF(F93=H48,E50,H93)</f>
        <v>12</v>
      </c>
      <c r="J93" s="241" t="str">
        <f aca="true" t="shared" si="19" ref="J93:J104">E93</f>
        <v>Mar-2014</v>
      </c>
      <c r="K93" s="241">
        <f t="shared" si="15"/>
        <v>31</v>
      </c>
      <c r="L93" s="241">
        <f>MAX(G64:G66)</f>
        <v>20680</v>
      </c>
      <c r="M93" s="241">
        <f>IF(L49=1,MIN(ROUND(L93*10%,0),900),0)</f>
        <v>0</v>
      </c>
      <c r="N93" s="241">
        <f aca="true" t="shared" si="20" ref="N93:N104">M93</f>
        <v>0</v>
      </c>
      <c r="O93" s="241">
        <f>IF(AND(Q20&lt;=2,Q20&gt;1),O51,O50)</f>
        <v>0</v>
      </c>
      <c r="P93" s="241">
        <f>IF(AND(U42&lt;=2,U42&gt;1),T45,T40)</f>
        <v>0</v>
      </c>
      <c r="Q93" s="241">
        <f>IF(AND(O43&lt;=2,O43&gt;1),O45,O40)</f>
        <v>0</v>
      </c>
      <c r="R93" s="241">
        <f>IF(R89&lt;=1,R91,R90)</f>
        <v>0</v>
      </c>
      <c r="S93" s="241" t="str">
        <f>IF(AND(S89&lt;=2,S89&gt;1),S91,S90)</f>
        <v> </v>
      </c>
      <c r="T93" s="241" t="str">
        <f>IF(AND(T89&lt;=2,T89&gt;1),T91,T90)</f>
        <v> </v>
      </c>
      <c r="U93" s="241" t="str">
        <f>IF(AND(U89&lt;=2,U89&gt;1),U91,U90)</f>
        <v> </v>
      </c>
      <c r="V93" s="241" t="str">
        <f>IF(AND(V89&lt;=2,V89&gt;1),V91,V90)</f>
        <v> </v>
      </c>
      <c r="W93" s="325">
        <f>IF(R19=3,X19,"")</f>
      </c>
      <c r="X93" s="241">
        <f>IF(X91=1,Y91,0)</f>
        <v>0</v>
      </c>
      <c r="Y93" s="241">
        <f>IF(AND(X90=1,X89=1),SUM(Y89:Y90),IF(AND(X89=1),Y89,IF(AND(X90=1),Y90,0)))</f>
        <v>20</v>
      </c>
      <c r="Z93" s="241">
        <f>SUM(X93:Y93,AA93)</f>
        <v>20</v>
      </c>
      <c r="AA93" s="241">
        <f>IF(X88=1,0,IF(X88=2,Z89,0))</f>
        <v>0</v>
      </c>
      <c r="AG93" s="241">
        <f>'it data'!C642</f>
        <v>27</v>
      </c>
    </row>
    <row r="94" spans="1:27" ht="15">
      <c r="A94" s="241">
        <v>4</v>
      </c>
      <c r="B94" s="241">
        <v>3</v>
      </c>
      <c r="C94" s="323">
        <f t="shared" si="16"/>
        <v>41759</v>
      </c>
      <c r="D94" s="241">
        <v>5</v>
      </c>
      <c r="E94" s="241" t="str">
        <f t="shared" si="17"/>
        <v>Apr-2014</v>
      </c>
      <c r="F94" s="241">
        <f t="shared" si="18"/>
        <v>41730</v>
      </c>
      <c r="G94" s="241">
        <f>IF(F94&gt;=D58,500,1)</f>
        <v>500</v>
      </c>
      <c r="H94" s="241">
        <f>IF(AND(F47&gt;1,F94&gt;=H48),IF(AND(F47=2,G94=1),10,IF(AND(F47=2,G94=500),12,IF(AND(F47=3,G94=1),12.5,IF(AND(F47=3,G94=500),14.5,IF(AND(F47=4),20,IF(AND(F47=5),30,0)))))),IF(AND(F41=1,G94=1),10,IF(AND(F41=1,G94=500),12,IF(AND(F41=2,G94=1),12.5,IF(AND(F41=2,G94=500),14.5,IF(AND(F41=3),20,IF(AND(F41=4),30)))))))</f>
        <v>12</v>
      </c>
      <c r="I94" s="241">
        <f>IF(F94=H48,E50,H94)</f>
        <v>12</v>
      </c>
      <c r="J94" s="241" t="str">
        <f t="shared" si="19"/>
        <v>Apr-2014</v>
      </c>
      <c r="K94" s="241">
        <f t="shared" si="15"/>
        <v>30</v>
      </c>
      <c r="L94" s="241">
        <f>MAX(H64:H66)</f>
        <v>20680</v>
      </c>
      <c r="M94" s="241">
        <f>IF(L49=1,MIN(ROUND(L94*10%,0),900),0)</f>
        <v>0</v>
      </c>
      <c r="N94" s="241">
        <f t="shared" si="20"/>
        <v>0</v>
      </c>
      <c r="O94" s="241">
        <f>IF(AND(Q20&lt;=3,Q20&gt;1),O51,O50)</f>
        <v>0</v>
      </c>
      <c r="P94" s="241">
        <f>IF(AND(U42&lt;=3,U42&gt;1),T45,T40)</f>
        <v>0</v>
      </c>
      <c r="Q94" s="241">
        <f>IF(AND(O43&lt;=3,O43&gt;1),O45,O40)</f>
        <v>0</v>
      </c>
      <c r="R94" s="241">
        <f>IF(R89&lt;=2,R91,R90)</f>
        <v>0</v>
      </c>
      <c r="S94" s="241" t="str">
        <f>IF(AND(S89&lt;=3,S89&gt;1),S91,S90)</f>
        <v> </v>
      </c>
      <c r="T94" s="241" t="str">
        <f>IF(AND(T89&lt;=3,T89&gt;1),T91,T90)</f>
        <v> </v>
      </c>
      <c r="U94" s="241" t="str">
        <f>IF(AND(U89&lt;=3,U89&gt;1),U91,U90)</f>
        <v> </v>
      </c>
      <c r="V94" s="241" t="str">
        <f>IF(AND(V89&lt;=3,V89&gt;1),V91,V90)</f>
        <v> </v>
      </c>
      <c r="W94" s="325">
        <f>IF(R19=4,X19,"")</f>
      </c>
      <c r="X94" s="241">
        <f>IF(X91=2,Y91,0)</f>
        <v>0</v>
      </c>
      <c r="Y94" s="241">
        <f>IF(AND(X90=2,X89=2),SUM(Y89:Y90),IF(AND(X89=2),Y89,IF(AND(X90=2),Y90,0)))</f>
        <v>0</v>
      </c>
      <c r="Z94" s="241">
        <f aca="true" t="shared" si="21" ref="Z94:Z104">SUM(X94:Y94,AA94)</f>
        <v>0</v>
      </c>
      <c r="AA94" s="241">
        <f>IF(X88=1,0,IF(X88=3,Z89,0))</f>
        <v>0</v>
      </c>
    </row>
    <row r="95" spans="1:27" ht="15">
      <c r="A95" s="241">
        <v>5</v>
      </c>
      <c r="B95" s="241">
        <v>4</v>
      </c>
      <c r="C95" s="323">
        <f t="shared" si="16"/>
        <v>41790</v>
      </c>
      <c r="D95" s="241">
        <v>6</v>
      </c>
      <c r="E95" s="241" t="str">
        <f t="shared" si="17"/>
        <v>May-2014</v>
      </c>
      <c r="F95" s="241">
        <f t="shared" si="18"/>
        <v>41760</v>
      </c>
      <c r="G95" s="241">
        <f>IF(F95&gt;=D58,500,1)</f>
        <v>500</v>
      </c>
      <c r="H95" s="241">
        <f>IF(AND(F47&gt;1,F95&gt;=H48),IF(AND(F47=2,G95=1),10,IF(AND(F47=2,G95=500),12,IF(AND(F47=3,G95=1),12.5,IF(AND(F47=3,G95=500),14.5,IF(AND(F47=4),20,IF(AND(F47=5),30,0)))))),IF(AND(F41=1,G95=1),10,IF(AND(F41=1,G95=500),12,IF(AND(F41=2,G95=1),12.5,IF(AND(F41=2,G95=500),14.5,IF(AND(F41=3),20,IF(AND(F41=4),30)))))))</f>
        <v>12</v>
      </c>
      <c r="I95" s="241">
        <f>IF(F95=H48,E50,H95)</f>
        <v>12</v>
      </c>
      <c r="J95" s="241" t="str">
        <f t="shared" si="19"/>
        <v>May-2014</v>
      </c>
      <c r="K95" s="241">
        <f t="shared" si="15"/>
        <v>31</v>
      </c>
      <c r="L95" s="241">
        <f>MAX(I64:I66)</f>
        <v>20680</v>
      </c>
      <c r="M95" s="241">
        <f>IF(L49=1,MIN(ROUND(L95*10%,0),900),0)</f>
        <v>0</v>
      </c>
      <c r="N95" s="241">
        <f t="shared" si="20"/>
        <v>0</v>
      </c>
      <c r="O95" s="241">
        <f>IF(AND(Q20&lt;=4,Q20&gt;1),O51,O50)</f>
        <v>0</v>
      </c>
      <c r="P95" s="241">
        <f>IF(AND(U42&lt;=4,U42&gt;1),T45,T40)</f>
        <v>0</v>
      </c>
      <c r="Q95" s="241">
        <f>IF(AND(O43&lt;=4,O43&gt;1),O45,O40)</f>
        <v>0</v>
      </c>
      <c r="R95" s="241">
        <f>IF(R89&lt;=3,R91,R90)</f>
        <v>0</v>
      </c>
      <c r="S95" s="241" t="str">
        <f>IF(AND(S89&lt;=4,S89&gt;1),S91,S90)</f>
        <v> </v>
      </c>
      <c r="T95" s="241" t="str">
        <f>IF(AND(T89&lt;=4,T89&gt;1),T91,T90)</f>
        <v> </v>
      </c>
      <c r="U95" s="241" t="str">
        <f>IF(AND(U89&lt;=4,U89&gt;1),U91,U90)</f>
        <v> </v>
      </c>
      <c r="V95" s="241" t="str">
        <f>IF(AND(V89&lt;=4,V89&gt;1),V91,V90)</f>
        <v> </v>
      </c>
      <c r="W95" s="325">
        <f>IF(R19=5,X19,"")</f>
      </c>
      <c r="X95" s="241">
        <f>IF(X91=3,Y91,0)</f>
        <v>0</v>
      </c>
      <c r="Y95" s="241">
        <f>IF(AND(X90=3,X89=3),SUM(Y89:Y90),IF(AND(X89=3),Y89,IF(AND(X90=3),Y90,0)))</f>
        <v>0</v>
      </c>
      <c r="Z95" s="241">
        <f t="shared" si="21"/>
        <v>0</v>
      </c>
      <c r="AA95" s="241">
        <f>IF(X88=1,0,IF(X88=4,Z89,0))</f>
        <v>0</v>
      </c>
    </row>
    <row r="96" spans="1:27" ht="15">
      <c r="A96" s="241">
        <v>6</v>
      </c>
      <c r="B96" s="241">
        <v>5</v>
      </c>
      <c r="C96" s="323">
        <f t="shared" si="16"/>
        <v>41820</v>
      </c>
      <c r="D96" s="241">
        <v>7</v>
      </c>
      <c r="E96" s="241" t="str">
        <f t="shared" si="17"/>
        <v>Jun-2014</v>
      </c>
      <c r="F96" s="241">
        <f>DATEVALUE(E96)</f>
        <v>41791</v>
      </c>
      <c r="G96" s="241">
        <f>IF(F96&gt;=D58,500,1)</f>
        <v>500</v>
      </c>
      <c r="H96" s="241">
        <f>IF(AND(F47&gt;1,F96&gt;=H48),IF(AND(F47=2,G96=1),10,IF(AND(F47=2,G96=500),12,IF(AND(F47=3,G96=1),12.5,IF(AND(F47=3,G96=500),14.5,IF(AND(F47=4),20,IF(AND(F47=5),30,0)))))),IF(AND(F41=1,G96=1),10,IF(AND(F41=1,G96=500),12,IF(AND(F41=2,G96=1),12.5,IF(AND(F41=2,G96=500),14.5,IF(AND(F41=3),20,IF(AND(F41=4),30)))))))</f>
        <v>12</v>
      </c>
      <c r="I96" s="241">
        <f>IF(F96=H48,E50,H96)</f>
        <v>12</v>
      </c>
      <c r="J96" s="241" t="str">
        <f t="shared" si="19"/>
        <v>Jun-2014</v>
      </c>
      <c r="K96" s="241">
        <f t="shared" si="15"/>
        <v>30</v>
      </c>
      <c r="L96" s="241">
        <f>MAX(J64:J66)</f>
        <v>20680</v>
      </c>
      <c r="M96" s="241">
        <f>IF(L49=1,MIN(ROUND(L96*10%,0),900),0)</f>
        <v>0</v>
      </c>
      <c r="N96" s="241">
        <f t="shared" si="20"/>
        <v>0</v>
      </c>
      <c r="O96" s="241">
        <f>IF(AND(Q20&lt;=5,Q20&gt;1),O51,O50)</f>
        <v>0</v>
      </c>
      <c r="P96" s="241">
        <f>IF(AND(U42&lt;=5,U42&gt;1),T45,T40)</f>
        <v>0</v>
      </c>
      <c r="Q96" s="241">
        <f>IF(AND(O43&lt;=5,O43&gt;1),O45,O40)</f>
        <v>0</v>
      </c>
      <c r="R96" s="241">
        <f>IF(R89&lt;=4,R91,R90)</f>
        <v>0</v>
      </c>
      <c r="S96" s="241" t="str">
        <f>IF(AND(S89&lt;=5,S89&gt;1),S91,S90)</f>
        <v> </v>
      </c>
      <c r="T96" s="241" t="str">
        <f>IF(AND(T89&lt;=5,T89&gt;1),T91,T90)</f>
        <v> </v>
      </c>
      <c r="U96" s="241" t="str">
        <f>IF(AND(U89&lt;=5,U89&gt;1),U91,U90)</f>
        <v> </v>
      </c>
      <c r="V96" s="241" t="str">
        <f>IF(AND(V89&lt;=5,V89&gt;1),V91,V90)</f>
        <v> </v>
      </c>
      <c r="W96" s="325">
        <f>IF(R19=6,X19,"")</f>
      </c>
      <c r="X96" s="241">
        <f>IF(X91=4,Y91,0)</f>
        <v>0</v>
      </c>
      <c r="Y96" s="241">
        <f>IF(AND(X90=4,X89=4),SUM(Y89:Y90),IF(AND(X89=4),Y89,IF(AND(X90=4),Y90,0)))</f>
        <v>0</v>
      </c>
      <c r="Z96" s="241">
        <f t="shared" si="21"/>
        <v>0</v>
      </c>
      <c r="AA96" s="241">
        <f>IF(X88=1,0,IF(X88=5,Z89,0))</f>
        <v>0</v>
      </c>
    </row>
    <row r="97" spans="1:37" ht="15">
      <c r="A97" s="241">
        <v>7</v>
      </c>
      <c r="B97" s="241">
        <v>6</v>
      </c>
      <c r="C97" s="323">
        <f t="shared" si="16"/>
        <v>41851</v>
      </c>
      <c r="D97" s="241">
        <v>8</v>
      </c>
      <c r="E97" s="241" t="str">
        <f t="shared" si="17"/>
        <v>Jul-2014</v>
      </c>
      <c r="F97" s="241">
        <f>DATEVALUE(E97)</f>
        <v>41821</v>
      </c>
      <c r="G97" s="241">
        <f>IF(F97&gt;=D58,500,1)</f>
        <v>500</v>
      </c>
      <c r="H97" s="241">
        <f>IF(AND(F47&gt;1,F97&gt;=H48),IF(AND(F47=2,G97=1),10,IF(AND(F47=2,G97=500),12,IF(AND(F47=3,G97=1),12.5,IF(AND(F47=3,G97=500),14.5,IF(AND(F47=4),20,IF(AND(F47=5),30,0)))))),IF(AND(F41=1,G97=1),10,IF(AND(F41=1,G97=500),12,IF(AND(F41=2,G97=1),12.5,IF(AND(F41=2,G97=500),14.5,IF(AND(F41=3),20,IF(AND(F41=4),30)))))))</f>
        <v>12</v>
      </c>
      <c r="I97" s="241">
        <f>IF(F97=H48,E50,H97)</f>
        <v>12</v>
      </c>
      <c r="J97" s="241" t="str">
        <f t="shared" si="19"/>
        <v>Jul-2014</v>
      </c>
      <c r="K97" s="241">
        <f t="shared" si="15"/>
        <v>31</v>
      </c>
      <c r="L97" s="241">
        <f>MAX(K64:K66)</f>
        <v>20680</v>
      </c>
      <c r="M97" s="241">
        <f>IF(L49=1,MIN(ROUND(L97*10%,0),900),0)</f>
        <v>0</v>
      </c>
      <c r="N97" s="241">
        <f t="shared" si="20"/>
        <v>0</v>
      </c>
      <c r="O97" s="241">
        <f>IF(AND(Q20&lt;=6,Q20&gt;1),O51,O50)</f>
        <v>0</v>
      </c>
      <c r="P97" s="241">
        <f>IF(AND(U42&lt;=6,U42&gt;1),T45,T40)</f>
        <v>0</v>
      </c>
      <c r="Q97" s="241">
        <f>IF(AND(O43&lt;=6,O43&gt;1),O45,O40)</f>
        <v>0</v>
      </c>
      <c r="R97" s="241">
        <f>IF(R89&lt;=5,R91,R90)</f>
        <v>0</v>
      </c>
      <c r="S97" s="241" t="str">
        <f>IF(AND(S89&lt;=6,S89&gt;1),S91,S90)</f>
        <v> </v>
      </c>
      <c r="T97" s="241" t="str">
        <f>IF(AND(T89&lt;=6,T89&gt;1),T91,T90)</f>
        <v> </v>
      </c>
      <c r="U97" s="241" t="str">
        <f>IF(AND(U89&lt;=6,U89&gt;1),U91,U90)</f>
        <v> </v>
      </c>
      <c r="V97" s="241" t="str">
        <f>IF(AND(V89&lt;=6,V89&gt;1),V91,V90)</f>
        <v> </v>
      </c>
      <c r="W97" s="325">
        <f>IF(R19=7,X19,"")</f>
      </c>
      <c r="X97" s="241">
        <f>IF(X91=5,Y91,0)</f>
        <v>667</v>
      </c>
      <c r="Y97" s="241">
        <f>IF(AND(X90=5,X89=5),SUM(Y89:Y90),IF(AND(X89=5),Y89,IF(AND(X90=5),Y90,0)))</f>
        <v>0</v>
      </c>
      <c r="Z97" s="241">
        <f t="shared" si="21"/>
        <v>667</v>
      </c>
      <c r="AA97" s="241">
        <f>IF(X88=1,0,IF(X88=6,Z89,0))</f>
        <v>0</v>
      </c>
      <c r="AF97" s="241">
        <v>1</v>
      </c>
      <c r="AG97" s="241">
        <f aca="true" t="shared" si="22" ref="AG97:AG104">$AG$93</f>
        <v>27</v>
      </c>
      <c r="AH97" s="241">
        <f aca="true" t="shared" si="23" ref="AH97:AH104">$AI$91</f>
        <v>1</v>
      </c>
      <c r="AI97" s="326">
        <f>IF(AH97&lt;=AK97,AG97,0)</f>
        <v>27</v>
      </c>
      <c r="AJ97" s="241">
        <f aca="true" t="shared" si="24" ref="AJ97:AJ104">ROUND(SUM(AI97%*L97),0)</f>
        <v>5584</v>
      </c>
      <c r="AK97" s="241">
        <v>1</v>
      </c>
    </row>
    <row r="98" spans="1:37" ht="15">
      <c r="A98" s="241">
        <v>8</v>
      </c>
      <c r="B98" s="241">
        <v>7</v>
      </c>
      <c r="C98" s="323">
        <f t="shared" si="16"/>
        <v>41882</v>
      </c>
      <c r="D98" s="241">
        <v>9</v>
      </c>
      <c r="E98" s="241" t="str">
        <f t="shared" si="17"/>
        <v>Aug-2014</v>
      </c>
      <c r="F98" s="241">
        <f t="shared" si="18"/>
        <v>41852</v>
      </c>
      <c r="G98" s="241">
        <f>IF(F98&gt;=D58,500,1)</f>
        <v>500</v>
      </c>
      <c r="H98" s="241">
        <f>IF(AND(F47&gt;1,F98&gt;=H48),IF(AND(F47=2,G98=1),10,IF(AND(F47=2,G98=500),12,IF(AND(F47=3,G98=1),12.5,IF(AND(F47=3,G98=500),14.5,IF(AND(F47=4),20,IF(AND(F47=5),30,0)))))),IF(AND(F41=1,G98=1),10,IF(AND(F41=1,G98=500),12,IF(AND(F41=2,G98=1),12.5,IF(AND(F41=2,G98=500),14.5,IF(AND(F41=3),20,IF(AND(F41=4),30)))))))</f>
        <v>12</v>
      </c>
      <c r="I98" s="241">
        <f>IF(F98=H48,E50,H98)</f>
        <v>12</v>
      </c>
      <c r="J98" s="241" t="str">
        <f t="shared" si="19"/>
        <v>Aug-2014</v>
      </c>
      <c r="K98" s="241">
        <f t="shared" si="15"/>
        <v>31</v>
      </c>
      <c r="L98" s="241">
        <f>MAX(L64:L66)</f>
        <v>20680</v>
      </c>
      <c r="M98" s="241">
        <f>IF(L49=1,MIN(ROUND(L98*10%,0),900),0)</f>
        <v>0</v>
      </c>
      <c r="N98" s="241">
        <f t="shared" si="20"/>
        <v>0</v>
      </c>
      <c r="O98" s="241">
        <f>IF(AND(Q20&lt;=7,Q20&gt;1),O51,O50)</f>
        <v>0</v>
      </c>
      <c r="P98" s="241">
        <f>IF(AND(U42&lt;=7,U42&gt;1),T45,T40)</f>
        <v>0</v>
      </c>
      <c r="Q98" s="241">
        <f>IF(AND(O43&lt;=7,O43&gt;1),O45,O40)</f>
        <v>0</v>
      </c>
      <c r="R98" s="241">
        <f>IF(R89&lt;=6,R91,R90)</f>
        <v>0</v>
      </c>
      <c r="S98" s="241" t="str">
        <f>IF(AND(S89&lt;=7,S89&gt;1),S91,S90)</f>
        <v> </v>
      </c>
      <c r="T98" s="241" t="str">
        <f>IF(AND(T89&lt;=7,T89&gt;1),T91,T90)</f>
        <v> </v>
      </c>
      <c r="U98" s="241" t="str">
        <f>IF(AND(U89&lt;=7,U89&gt;1),U91,U90)</f>
        <v> </v>
      </c>
      <c r="V98" s="241" t="str">
        <f>IF(AND(V89&lt;=7,V89&gt;1),V91,V90)</f>
        <v> </v>
      </c>
      <c r="W98" s="325">
        <f>IF(R19=8,X19,"")</f>
      </c>
      <c r="X98" s="241">
        <f>IF(X91=6,Y91,0)</f>
        <v>0</v>
      </c>
      <c r="Y98" s="241">
        <f>IF(AND(X90=6,X89=6),SUM(Y89:Y90),IF(AND(X89=6),Y89,IF(AND(X90=6),Y90,0)))</f>
        <v>0</v>
      </c>
      <c r="Z98" s="241">
        <f t="shared" si="21"/>
        <v>0</v>
      </c>
      <c r="AA98" s="241">
        <f>IF(X88=1,0,IF(X88=7,Z89,0))</f>
        <v>0</v>
      </c>
      <c r="AF98" s="241">
        <v>2</v>
      </c>
      <c r="AG98" s="241">
        <f t="shared" si="22"/>
        <v>27</v>
      </c>
      <c r="AH98" s="241">
        <f t="shared" si="23"/>
        <v>1</v>
      </c>
      <c r="AI98" s="241">
        <f>IF(AH98&lt;=AK98,AG98,0)</f>
        <v>27</v>
      </c>
      <c r="AJ98" s="241">
        <f t="shared" si="24"/>
        <v>5584</v>
      </c>
      <c r="AK98" s="241">
        <v>2</v>
      </c>
    </row>
    <row r="99" spans="1:37" ht="15">
      <c r="A99" s="241">
        <v>9</v>
      </c>
      <c r="B99" s="241">
        <v>8</v>
      </c>
      <c r="C99" s="323">
        <f t="shared" si="16"/>
        <v>41912</v>
      </c>
      <c r="D99" s="241">
        <v>10</v>
      </c>
      <c r="E99" s="241" t="str">
        <f t="shared" si="17"/>
        <v>Sep-2014</v>
      </c>
      <c r="F99" s="241">
        <f t="shared" si="18"/>
        <v>41883</v>
      </c>
      <c r="G99" s="241">
        <f>IF(F99&gt;=D58,500,1)</f>
        <v>500</v>
      </c>
      <c r="H99" s="241">
        <f>IF(AND(F47&gt;1,F99&gt;=H48),IF(AND(F47=2,G99=1),10,IF(AND(F47=2,G99=500),12,IF(AND(F47=3,G99=1),12.5,IF(AND(F47=3,G99=500),14.5,IF(AND(F47=4),20,IF(AND(F47=5),30,0)))))),IF(AND(F41=1,G99=1),10,IF(AND(F41=1,G99=500),12,IF(AND(F41=2,G99=1),12.5,IF(AND(F41=2,G99=500),14.5,IF(AND(F41=3),20,IF(AND(F41=4),30)))))))</f>
        <v>12</v>
      </c>
      <c r="I99" s="241">
        <f>IF(F99=H48,E50,H99)</f>
        <v>12</v>
      </c>
      <c r="J99" s="241" t="str">
        <f t="shared" si="19"/>
        <v>Sep-2014</v>
      </c>
      <c r="K99" s="241">
        <f t="shared" si="15"/>
        <v>30</v>
      </c>
      <c r="L99" s="241">
        <f>MAX(M64:M66)</f>
        <v>20680</v>
      </c>
      <c r="M99" s="241">
        <f>IF(L49=1,MIN(ROUND(L99*10%,0),900),0)</f>
        <v>0</v>
      </c>
      <c r="N99" s="241">
        <f t="shared" si="20"/>
        <v>0</v>
      </c>
      <c r="O99" s="241">
        <f>IF(AND(Q20&lt;=8,Q20&gt;1),O51,O50)</f>
        <v>0</v>
      </c>
      <c r="P99" s="241">
        <f>IF(AND(U42&lt;=8,U42&gt;1),T45,T40)</f>
        <v>0</v>
      </c>
      <c r="Q99" s="241">
        <f>IF(AND(O43&lt;=8,O43&gt;1),O45,O40)</f>
        <v>0</v>
      </c>
      <c r="R99" s="241">
        <f>IF(R89&lt;=7,R91,R90)</f>
        <v>0</v>
      </c>
      <c r="S99" s="241" t="str">
        <f>IF(AND(S89&lt;=8,S89&gt;1),S91,S90)</f>
        <v> </v>
      </c>
      <c r="T99" s="241" t="str">
        <f>IF(AND(T89&lt;=8,T89&gt;1),T91,T90)</f>
        <v> </v>
      </c>
      <c r="U99" s="241" t="str">
        <f>IF(AND(U89&lt;=8,U89&gt;1),U91,U90)</f>
        <v> </v>
      </c>
      <c r="V99" s="241" t="str">
        <f>IF(AND(V89&lt;=8,V89&gt;1),V91,V90)</f>
        <v> </v>
      </c>
      <c r="W99" s="325">
        <f>IF(R19=9,X19,"")</f>
      </c>
      <c r="X99" s="241">
        <f>IF(X91=7,Y91,0)</f>
        <v>0</v>
      </c>
      <c r="Y99" s="241">
        <f>IF(AND(X90=7,X89=7),SUM(Y89:Y90),IF(AND(X89=7),Y89,IF(AND(X90=7),Y90,0)))</f>
        <v>0</v>
      </c>
      <c r="Z99" s="241">
        <f t="shared" si="21"/>
        <v>0</v>
      </c>
      <c r="AA99" s="241">
        <f>IF(X88=1,0,IF(X88=8,Z89,0))</f>
        <v>0</v>
      </c>
      <c r="AF99" s="241">
        <v>3</v>
      </c>
      <c r="AG99" s="241">
        <f t="shared" si="22"/>
        <v>27</v>
      </c>
      <c r="AH99" s="241">
        <f t="shared" si="23"/>
        <v>1</v>
      </c>
      <c r="AI99" s="241">
        <f aca="true" t="shared" si="25" ref="AI99:AI104">IF(AH99&lt;=AK99,AG99,0)</f>
        <v>27</v>
      </c>
      <c r="AJ99" s="241">
        <f t="shared" si="24"/>
        <v>5584</v>
      </c>
      <c r="AK99" s="241">
        <v>3</v>
      </c>
    </row>
    <row r="100" spans="1:37" ht="15">
      <c r="A100" s="241">
        <v>10</v>
      </c>
      <c r="B100" s="241">
        <v>9</v>
      </c>
      <c r="C100" s="323">
        <f t="shared" si="16"/>
        <v>41943</v>
      </c>
      <c r="D100" s="241">
        <v>11</v>
      </c>
      <c r="E100" s="241" t="str">
        <f t="shared" si="17"/>
        <v>Oct-2014</v>
      </c>
      <c r="F100" s="241">
        <f t="shared" si="18"/>
        <v>41913</v>
      </c>
      <c r="G100" s="241">
        <f>IF(F100&gt;=D58,500,1)</f>
        <v>500</v>
      </c>
      <c r="H100" s="241">
        <f>IF(AND(F47&gt;1,F100&gt;=H48),IF(AND(F47=2,G100=1),10,IF(AND(F47=2,G100=500),12,IF(AND(F47=3,G100=1),12.5,IF(AND(F47=3,G100=500),14.5,IF(AND(F47=4),20,IF(AND(F47=5),30,0)))))),IF(AND(F41=1,G100=1),10,IF(AND(F41=1,G100=500),12,IF(AND(F41=2,G100=1),12.5,IF(AND(F41=2,G100=500),14.5,IF(AND(F41=3),20,IF(AND(F41=4),30)))))))</f>
        <v>12</v>
      </c>
      <c r="I100" s="241">
        <f>IF(F100=H48,E50,H100)</f>
        <v>12</v>
      </c>
      <c r="J100" s="241" t="str">
        <f t="shared" si="19"/>
        <v>Oct-2014</v>
      </c>
      <c r="K100" s="241">
        <f t="shared" si="15"/>
        <v>31</v>
      </c>
      <c r="L100" s="241">
        <f>MAX(N64:N66)</f>
        <v>20680</v>
      </c>
      <c r="M100" s="241">
        <f>IF(L49=1,MIN(ROUND(L100*10%,0),900),0)</f>
        <v>0</v>
      </c>
      <c r="N100" s="241">
        <f t="shared" si="20"/>
        <v>0</v>
      </c>
      <c r="O100" s="241">
        <f>IF(AND(Q20&lt;=9,Q20&gt;1),O51,O50)</f>
        <v>0</v>
      </c>
      <c r="P100" s="241">
        <f>IF(AND(U42&lt;=9,U42&gt;1),T45,T40)</f>
        <v>0</v>
      </c>
      <c r="Q100" s="241">
        <f>IF(AND(O43&lt;=9,O43&gt;1),O45,O40)</f>
        <v>0</v>
      </c>
      <c r="R100" s="241">
        <f>IF(R89&lt;=8,R91,R90)</f>
        <v>0</v>
      </c>
      <c r="S100" s="241" t="str">
        <f>IF(AND(S89&lt;=9,S89&gt;1),S91,S90)</f>
        <v> </v>
      </c>
      <c r="T100" s="241" t="str">
        <f>IF(AND(T89&lt;=9,T89&gt;1),T91,T90)</f>
        <v> </v>
      </c>
      <c r="U100" s="241" t="str">
        <f>IF(AND(U89&lt;=9,U89&gt;1),U91,U90)</f>
        <v> </v>
      </c>
      <c r="V100" s="241" t="str">
        <f>IF(AND(V89&lt;=9,V89&gt;1),V91,V90)</f>
        <v> </v>
      </c>
      <c r="W100" s="325">
        <f>IF(R19=10,X19,"")</f>
      </c>
      <c r="X100" s="241">
        <f>IF(X91=8,Y91,0)</f>
        <v>0</v>
      </c>
      <c r="Y100" s="241">
        <f>IF(AND(X90=8,X89=8),SUM(Y89:Y90),IF(AND(X89=8),Y89,IF(AND(X90=8),Y90,0)))</f>
        <v>0</v>
      </c>
      <c r="Z100" s="241">
        <f t="shared" si="21"/>
        <v>0</v>
      </c>
      <c r="AA100" s="241">
        <f>IF(X88=1,0,IF(X88=9,Z89,0))</f>
        <v>0</v>
      </c>
      <c r="AF100" s="241">
        <v>4</v>
      </c>
      <c r="AG100" s="241">
        <f t="shared" si="22"/>
        <v>27</v>
      </c>
      <c r="AH100" s="241">
        <f t="shared" si="23"/>
        <v>1</v>
      </c>
      <c r="AI100" s="241">
        <f t="shared" si="25"/>
        <v>27</v>
      </c>
      <c r="AJ100" s="241">
        <f t="shared" si="24"/>
        <v>5584</v>
      </c>
      <c r="AK100" s="241">
        <v>4</v>
      </c>
    </row>
    <row r="101" spans="1:37" ht="15">
      <c r="A101" s="241">
        <v>11</v>
      </c>
      <c r="B101" s="241">
        <v>10</v>
      </c>
      <c r="C101" s="323">
        <f t="shared" si="16"/>
        <v>41973</v>
      </c>
      <c r="D101" s="241">
        <v>12</v>
      </c>
      <c r="E101" s="241" t="str">
        <f t="shared" si="17"/>
        <v>Nov-2014</v>
      </c>
      <c r="F101" s="241">
        <f t="shared" si="18"/>
        <v>41944</v>
      </c>
      <c r="G101" s="241">
        <f>IF(F101&gt;=D58,500,1)</f>
        <v>500</v>
      </c>
      <c r="H101" s="241">
        <f>IF(AND(F47&gt;1,F101&gt;=H48),IF(AND(F47=2,G101=1),10,IF(AND(F47=2,G101=500),12,IF(AND(F47=3,G101=1),12.5,IF(AND(F47=3,G101=500),14.5,IF(AND(F47=4),20,IF(AND(F47=5),30,0)))))),IF(AND(F41=1,G101=1),10,IF(AND(F41=1,G101=500),12,IF(AND(F41=2,G101=1),12.5,IF(AND(F41=2,G101=500),14.5,IF(AND(F41=3),20,IF(AND(F41=4),30)))))))</f>
        <v>12</v>
      </c>
      <c r="I101" s="241">
        <f>IF(F101=H48,E50,H101)</f>
        <v>12</v>
      </c>
      <c r="J101" s="241" t="str">
        <f t="shared" si="19"/>
        <v>Nov-2014</v>
      </c>
      <c r="K101" s="241">
        <f t="shared" si="15"/>
        <v>30</v>
      </c>
      <c r="L101" s="241">
        <f>MAX(O64:O66)</f>
        <v>21250</v>
      </c>
      <c r="M101" s="241">
        <f>IF(L49=1,MIN(ROUND(L101*10%,0),900),0)</f>
        <v>0</v>
      </c>
      <c r="N101" s="241">
        <f t="shared" si="20"/>
        <v>0</v>
      </c>
      <c r="O101" s="241">
        <f>IF(AND(Q20&lt;=10,Q20&gt;1),O51,O50)</f>
        <v>0</v>
      </c>
      <c r="P101" s="241">
        <f>IF(AND(U42&lt;=10,U42&gt;1),T45,T40)</f>
        <v>0</v>
      </c>
      <c r="Q101" s="241">
        <f>IF(AND(O43&lt;=10,O43&gt;1),O45,O40)</f>
        <v>0</v>
      </c>
      <c r="R101" s="241">
        <f>IF(R89&lt;=9,R91,R90)</f>
        <v>90</v>
      </c>
      <c r="S101" s="241" t="str">
        <f>IF(AND(S89&lt;=10,S89&gt;1),S91,S90)</f>
        <v> </v>
      </c>
      <c r="T101" s="241" t="str">
        <f>IF(AND(T89&lt;=10,T89&gt;1),T91,T90)</f>
        <v> </v>
      </c>
      <c r="U101" s="241" t="str">
        <f>IF(AND(U89&lt;=10,U89&gt;1),U91,U90)</f>
        <v> </v>
      </c>
      <c r="V101" s="241">
        <f>IF(AND(V89&lt;=10,V89&gt;1),V91,V90)</f>
        <v>0</v>
      </c>
      <c r="W101" s="325">
        <f>IF(R19=11,X19,"")</f>
      </c>
      <c r="X101" s="241">
        <f>IF(X91=9,Y91,0)</f>
        <v>0</v>
      </c>
      <c r="Y101" s="241">
        <f>IF(AND(X90=9,X89=9),SUM(Y89:Y90),IF(AND(X89=9),Y89,IF(AND(X90=9),Y90,0)))</f>
        <v>0</v>
      </c>
      <c r="Z101" s="241">
        <f t="shared" si="21"/>
        <v>1417</v>
      </c>
      <c r="AA101" s="241">
        <f>IF(X88=1,0,IF(X88=10,Z89,0))</f>
        <v>1417</v>
      </c>
      <c r="AF101" s="241">
        <v>5</v>
      </c>
      <c r="AG101" s="241">
        <f t="shared" si="22"/>
        <v>27</v>
      </c>
      <c r="AH101" s="241">
        <f t="shared" si="23"/>
        <v>1</v>
      </c>
      <c r="AI101" s="241">
        <f t="shared" si="25"/>
        <v>27</v>
      </c>
      <c r="AJ101" s="241">
        <f t="shared" si="24"/>
        <v>5738</v>
      </c>
      <c r="AK101" s="241">
        <v>5</v>
      </c>
    </row>
    <row r="102" spans="1:37" ht="15">
      <c r="A102" s="241">
        <v>12</v>
      </c>
      <c r="B102" s="241">
        <v>11</v>
      </c>
      <c r="C102" s="323">
        <f t="shared" si="16"/>
        <v>42004</v>
      </c>
      <c r="D102" s="241">
        <v>13</v>
      </c>
      <c r="E102" s="241" t="str">
        <f t="shared" si="17"/>
        <v>Dec-2014</v>
      </c>
      <c r="F102" s="241">
        <f t="shared" si="18"/>
        <v>41974</v>
      </c>
      <c r="G102" s="241">
        <f>IF(F102&gt;=D58,500,1)</f>
        <v>500</v>
      </c>
      <c r="H102" s="241">
        <f>IF(AND(F47&gt;1,F102&gt;=H48),IF(AND(F47=2,G102=1),10,IF(AND(F47=2,G102=500),12,IF(AND(F47=3,G102=1),12.5,IF(AND(F47=3,G102=500),14.5,IF(AND(F47=4),20,IF(AND(F47=5),30,0)))))),IF(AND(F41=1,G102=1),10,IF(AND(F41=1,G102=500),12,IF(AND(F41=2,G102=1),12.5,IF(AND(F41=2,G102=500),14.5,IF(AND(F41=3),20,IF(AND(F41=4),30)))))))</f>
        <v>12</v>
      </c>
      <c r="I102" s="241">
        <f>IF(F102=H48,E50,H102)</f>
        <v>12</v>
      </c>
      <c r="J102" s="241" t="str">
        <f t="shared" si="19"/>
        <v>Dec-2014</v>
      </c>
      <c r="K102" s="241">
        <f t="shared" si="15"/>
        <v>31</v>
      </c>
      <c r="L102" s="241">
        <f>MAX(P64:P66)</f>
        <v>21250</v>
      </c>
      <c r="M102" s="241">
        <f>IF(L49=1,MIN(ROUND(L102*10%,0),900),0)</f>
        <v>0</v>
      </c>
      <c r="N102" s="241">
        <f t="shared" si="20"/>
        <v>0</v>
      </c>
      <c r="O102" s="241">
        <f>IF(AND(Q20&lt;=11,Q20&gt;1),O51,O50)</f>
        <v>0</v>
      </c>
      <c r="P102" s="241">
        <f>IF(AND(U42&lt;=11,U42&gt;1),T45,T40)</f>
        <v>0</v>
      </c>
      <c r="Q102" s="241">
        <f>IF(AND(O43&lt;=11,O43&gt;1),O45,O40)</f>
        <v>0</v>
      </c>
      <c r="R102" s="241">
        <f>IF(R89&lt;=10,R91,R90)</f>
        <v>90</v>
      </c>
      <c r="S102" s="241" t="str">
        <f>IF(AND(S89&lt;=11,S89&gt;1),S91,S90)</f>
        <v> </v>
      </c>
      <c r="T102" s="241" t="str">
        <f>IF(AND(T89&lt;=11,T89&gt;1),T91,T90)</f>
        <v> </v>
      </c>
      <c r="U102" s="241" t="str">
        <f>IF(AND(U89&lt;=11,U89&gt;1),U91,U90)</f>
        <v> </v>
      </c>
      <c r="V102" s="241">
        <f>IF(AND(V89&lt;=11,V89&gt;1),V91,V90)</f>
        <v>0</v>
      </c>
      <c r="W102" s="325">
        <f>IF(R19=12,X19,"")</f>
      </c>
      <c r="X102" s="241">
        <f>IF(X91=10,Y91,0)</f>
        <v>0</v>
      </c>
      <c r="Y102" s="241">
        <f>IF(AND(X90=10,X89=10),SUM(Y89:Y90),IF(AND(X89=10),Y89,IF(AND(X90=10),Y90,0)))</f>
        <v>20</v>
      </c>
      <c r="Z102" s="241">
        <f t="shared" si="21"/>
        <v>20</v>
      </c>
      <c r="AA102" s="241">
        <f>IF(X88=1,0,IF(X88=11,Z89,0))</f>
        <v>0</v>
      </c>
      <c r="AF102" s="241">
        <v>6</v>
      </c>
      <c r="AG102" s="241">
        <f t="shared" si="22"/>
        <v>27</v>
      </c>
      <c r="AH102" s="241">
        <f t="shared" si="23"/>
        <v>1</v>
      </c>
      <c r="AI102" s="241">
        <f t="shared" si="25"/>
        <v>27</v>
      </c>
      <c r="AJ102" s="241">
        <f t="shared" si="24"/>
        <v>5738</v>
      </c>
      <c r="AK102" s="241">
        <v>6</v>
      </c>
    </row>
    <row r="103" spans="1:37" ht="15">
      <c r="A103" s="241">
        <v>13</v>
      </c>
      <c r="B103" s="241">
        <v>12</v>
      </c>
      <c r="C103" s="323">
        <f t="shared" si="16"/>
        <v>42035</v>
      </c>
      <c r="D103" s="241">
        <v>14</v>
      </c>
      <c r="E103" s="241" t="str">
        <f t="shared" si="17"/>
        <v>Jan-2015</v>
      </c>
      <c r="F103" s="241">
        <f t="shared" si="18"/>
        <v>42005</v>
      </c>
      <c r="G103" s="241">
        <f>IF(F103&gt;=D58,500,1)</f>
        <v>500</v>
      </c>
      <c r="H103" s="241">
        <f>IF(AND(F47&gt;1,F103&gt;=H48),IF(AND(F47=2,G103=1),10,IF(AND(F47=2,G103=500),12,IF(AND(F47=3,G103=1),12.5,IF(AND(F47=3,G103=500),14.5,IF(AND(F47=4),20,IF(AND(F47=5),30,0)))))),IF(AND(F41=1,G103=1),10,IF(AND(F41=1,G103=500),12,IF(AND(F41=2,G103=1),12.5,IF(AND(F41=2,G103=500),14.5,IF(AND(F41=3),20,IF(AND(F41=4),30)))))))</f>
        <v>12</v>
      </c>
      <c r="I103" s="241">
        <f>IF(F103=H48,E50,H103)</f>
        <v>12</v>
      </c>
      <c r="J103" s="241" t="str">
        <f t="shared" si="19"/>
        <v>Jan-2015</v>
      </c>
      <c r="K103" s="241">
        <f t="shared" si="15"/>
        <v>31</v>
      </c>
      <c r="L103" s="241">
        <f>MAX(Q64:Q66)</f>
        <v>21250</v>
      </c>
      <c r="M103" s="241">
        <f>IF(L49=1,MIN(ROUND(L103*10%,0),900),0)</f>
        <v>0</v>
      </c>
      <c r="N103" s="241">
        <f t="shared" si="20"/>
        <v>0</v>
      </c>
      <c r="O103" s="241">
        <f>IF(AND(Q20&lt;=12,Q20&gt;1),O51,O50)</f>
        <v>0</v>
      </c>
      <c r="P103" s="241">
        <f>IF(AND(U42&lt;=12,U42&gt;1),T45,T40)</f>
        <v>0</v>
      </c>
      <c r="Q103" s="241">
        <f>IF(AND(O43&lt;=12,O43&gt;1),O45,O40)</f>
        <v>0</v>
      </c>
      <c r="R103" s="241">
        <f>IF(R89&lt;=11,R91,R90)</f>
        <v>90</v>
      </c>
      <c r="S103" s="241" t="str">
        <f>IF(AND(S89&lt;=12,S89&gt;1),S91,S90)</f>
        <v> </v>
      </c>
      <c r="T103" s="241" t="str">
        <f>IF(AND(T89&lt;=12,T89&gt;1),T91,T90)</f>
        <v> </v>
      </c>
      <c r="U103" s="241" t="str">
        <f>IF(AND(U89&lt;=12,U89&gt;1),U91,U90)</f>
        <v> </v>
      </c>
      <c r="V103" s="241">
        <f>IF(AND(V89&lt;=12,V89&gt;1),V91,V90)</f>
        <v>0</v>
      </c>
      <c r="W103" s="325">
        <f>IF(R19=13,X19,"")</f>
      </c>
      <c r="X103" s="241">
        <f>IF(X91=11,Y91,0)</f>
        <v>0</v>
      </c>
      <c r="Y103" s="241">
        <f>IF(AND(X90=11,X89=11),SUM(Y89:Y90),IF(AND(X89=11),Y89,IF(AND(X90=11),Y90,0)))</f>
        <v>0</v>
      </c>
      <c r="Z103" s="241">
        <f t="shared" si="21"/>
        <v>0</v>
      </c>
      <c r="AA103" s="241">
        <f>IF(X88=1,0,IF(X88=12,Z89,0))</f>
        <v>0</v>
      </c>
      <c r="AB103" s="241" t="s">
        <v>365</v>
      </c>
      <c r="AF103" s="241">
        <v>7</v>
      </c>
      <c r="AG103" s="241">
        <f t="shared" si="22"/>
        <v>27</v>
      </c>
      <c r="AH103" s="241">
        <f t="shared" si="23"/>
        <v>1</v>
      </c>
      <c r="AI103" s="241">
        <f t="shared" si="25"/>
        <v>27</v>
      </c>
      <c r="AJ103" s="241">
        <f t="shared" si="24"/>
        <v>5738</v>
      </c>
      <c r="AK103" s="241">
        <v>7</v>
      </c>
    </row>
    <row r="104" spans="1:37" ht="15">
      <c r="A104" s="241">
        <v>14</v>
      </c>
      <c r="B104" s="241">
        <v>13</v>
      </c>
      <c r="C104" s="323">
        <f t="shared" si="16"/>
        <v>42063</v>
      </c>
      <c r="D104" s="241">
        <v>15</v>
      </c>
      <c r="E104" s="241" t="str">
        <f t="shared" si="17"/>
        <v>Feb-2015</v>
      </c>
      <c r="F104" s="241">
        <f t="shared" si="18"/>
        <v>42036</v>
      </c>
      <c r="G104" s="241">
        <f>IF(F104&gt;=D58,500,1)</f>
        <v>500</v>
      </c>
      <c r="H104" s="241">
        <f>IF(AND(F47&gt;1,F104&gt;=H48),IF(AND(F47=2,G104=1),10,IF(AND(F47=2,G104=500),12,IF(AND(F47=3,G104=1),12.5,IF(AND(F47=3,G104=500),14.5,IF(AND(F47=4),20,IF(AND(F47=5),30,0)))))),IF(AND(F41=1,G104=1),10,IF(AND(F41=1,G104=500),12,IF(AND(F41=2,G104=1),12.5,IF(AND(F41=2,G104=500),14.5,IF(AND(F41=3),20,IF(AND(F41=4),30)))))))</f>
        <v>12</v>
      </c>
      <c r="I104" s="241">
        <f>IF(F104=H48,E50,H104)</f>
        <v>12</v>
      </c>
      <c r="J104" s="241" t="str">
        <f t="shared" si="19"/>
        <v>Feb-2015</v>
      </c>
      <c r="K104" s="241">
        <f t="shared" si="15"/>
        <v>28</v>
      </c>
      <c r="L104" s="241">
        <f>MAX(R64:R66)</f>
        <v>21250</v>
      </c>
      <c r="M104" s="241">
        <f>IF(L49=1,MIN(ROUND(L104*10%,0),900),0)</f>
        <v>0</v>
      </c>
      <c r="N104" s="241">
        <f t="shared" si="20"/>
        <v>0</v>
      </c>
      <c r="O104" s="241">
        <f>IF(AND(Q20&lt;=13,Q20&gt;1),O51,O50)</f>
        <v>0</v>
      </c>
      <c r="P104" s="241">
        <f>IF(AND(U42&lt;=13,U42&gt;1),T45,T40)</f>
        <v>0</v>
      </c>
      <c r="Q104" s="241">
        <f>IF(AND(O43&lt;=13,O43&gt;1),O45,O40)</f>
        <v>0</v>
      </c>
      <c r="R104" s="241">
        <f>IF(R89&lt;=12,R91,R90)</f>
        <v>90</v>
      </c>
      <c r="S104" s="241" t="str">
        <f>IF(AND(S89&lt;=13,S89&gt;1),S91,S90)</f>
        <v> </v>
      </c>
      <c r="T104" s="241" t="str">
        <f>IF(AND(T89&lt;=13,T89&gt;1),T91,T90)</f>
        <v> </v>
      </c>
      <c r="U104" s="241" t="str">
        <f>IF(AND(U89&lt;=13,U89&gt;1),U91,U90)</f>
        <v> </v>
      </c>
      <c r="V104" s="241">
        <f>IF(AND(V89&lt;=13,V89&gt;1),V91,V90)</f>
        <v>0</v>
      </c>
      <c r="W104" s="325">
        <f>IF(R19=14,X19,"")</f>
      </c>
      <c r="X104" s="241">
        <f>IF(X91=12,Y91,0)</f>
        <v>0</v>
      </c>
      <c r="Y104" s="241">
        <f>IF(AND(X90=12,X89=12),SUM(Y89:Y90),IF(AND(X89=12),Y89,IF(AND(X90=12),Y90,0)))</f>
        <v>0</v>
      </c>
      <c r="Z104" s="241">
        <f t="shared" si="21"/>
        <v>0</v>
      </c>
      <c r="AA104" s="241">
        <f>IF(X88=1,0,IF(X88=13,Z89,0))</f>
        <v>0</v>
      </c>
      <c r="AB104" s="241">
        <v>1</v>
      </c>
      <c r="AF104" s="241">
        <v>8</v>
      </c>
      <c r="AG104" s="241">
        <f t="shared" si="22"/>
        <v>27</v>
      </c>
      <c r="AH104" s="241">
        <f t="shared" si="23"/>
        <v>1</v>
      </c>
      <c r="AI104" s="241">
        <f t="shared" si="25"/>
        <v>27</v>
      </c>
      <c r="AJ104" s="241">
        <f t="shared" si="24"/>
        <v>5738</v>
      </c>
      <c r="AK104" s="241">
        <v>8</v>
      </c>
    </row>
    <row r="105" spans="3:28" ht="15">
      <c r="C105" s="323">
        <f t="shared" si="16"/>
        <v>42094</v>
      </c>
      <c r="AB105" s="241" t="s">
        <v>366</v>
      </c>
    </row>
    <row r="106" spans="3:32" ht="15">
      <c r="C106" s="323"/>
      <c r="AB106" s="241" t="s">
        <v>367</v>
      </c>
      <c r="AC106" s="241">
        <v>6</v>
      </c>
      <c r="AE106" s="241" t="str">
        <f>VLOOKUP(AC106,B301:D314,3,0)</f>
        <v>Jun-2014</v>
      </c>
      <c r="AF106" s="327">
        <f>INDEX(C91:C104,AC106,0)</f>
        <v>41820</v>
      </c>
    </row>
    <row r="107" spans="3:34" ht="15">
      <c r="C107" s="323"/>
      <c r="T107" s="241" t="s">
        <v>339</v>
      </c>
      <c r="U107" s="241" t="s">
        <v>347</v>
      </c>
      <c r="V107" s="241" t="s">
        <v>368</v>
      </c>
      <c r="X107" s="241" t="s">
        <v>369</v>
      </c>
      <c r="AB107" s="241" t="s">
        <v>370</v>
      </c>
      <c r="AH107" s="241">
        <f>IF(AB104=2,2,1)</f>
        <v>1</v>
      </c>
    </row>
    <row r="108" spans="3:33" ht="15">
      <c r="C108" s="323"/>
      <c r="P108" s="241" t="s">
        <v>371</v>
      </c>
      <c r="R108" s="241" t="s">
        <v>372</v>
      </c>
      <c r="S108" s="241">
        <f>U114</f>
        <v>7080</v>
      </c>
      <c r="T108" s="241">
        <f>U116</f>
        <v>0</v>
      </c>
      <c r="U108" s="241">
        <f>U117</f>
        <v>0</v>
      </c>
      <c r="V108" s="241">
        <f>U115</f>
        <v>0</v>
      </c>
      <c r="X108" s="241">
        <f>IF(C140=1,0,SUM(S108:W108))</f>
        <v>7080</v>
      </c>
      <c r="AB108" s="241" t="s">
        <v>337</v>
      </c>
      <c r="AC108" s="241" t="s">
        <v>148</v>
      </c>
      <c r="AD108" s="241" t="s">
        <v>149</v>
      </c>
      <c r="AE108" s="241" t="s">
        <v>373</v>
      </c>
      <c r="AF108" s="241" t="s">
        <v>211</v>
      </c>
      <c r="AG108" s="241" t="s">
        <v>360</v>
      </c>
    </row>
    <row r="109" spans="3:33" ht="15">
      <c r="C109" s="323"/>
      <c r="AB109" s="241">
        <f>IF(AB104=1,0,IF(AND(AB104=2),ROUND(VLOOKUP(AC106,B301:AE314,5,0)/2,0),IF(AND(AB104=3),VLOOKUP(AC106,B301:AE314,5,0))))</f>
        <v>0</v>
      </c>
      <c r="AC109" s="241">
        <f>IF(AB104=1,0,IF(AND(AB104=2),ROUND(VLOOKUP(AC106,B301:AE314,21,0)/2,0),IF(AND(AB104=3),VLOOKUP(AC106,B301:AE314,21,0))))</f>
        <v>0</v>
      </c>
      <c r="AD109" s="241">
        <f>IF(AB104=1,0,IF(AND(AB104=2),ROUND(VLOOKUP(AC106,B301:AE314,24,0)/2,0),IF(AND(AB104=3),VLOOKUP(AC106,B301:AE314,24,0))))</f>
        <v>0</v>
      </c>
      <c r="AE109" s="241">
        <f>IF(AB104=1,0,IF(AND(AB104=2),ROUND(VLOOKUP(AC106,B301:AE314,29,0)/2,0),IF(AND(AB104=3),VLOOKUP(AC106,B301:AE314,29,0))))</f>
        <v>0</v>
      </c>
      <c r="AF109" s="241">
        <f>IF(AB104=1,0,IF(AND(AB104=2),ROUND(INDEX(O91:O104,AC106,0)/2,0),IF(AND(AB104=3),INDEX(O91:O104,AC106,0))))</f>
        <v>0</v>
      </c>
      <c r="AG109" s="241">
        <v>0</v>
      </c>
    </row>
    <row r="110" spans="3:29" ht="15">
      <c r="C110" s="323"/>
      <c r="P110" s="241" t="s">
        <v>371</v>
      </c>
      <c r="R110" s="241" t="s">
        <v>343</v>
      </c>
      <c r="S110" s="241">
        <f>U121</f>
        <v>3717</v>
      </c>
      <c r="T110" s="241">
        <f>U123</f>
        <v>0</v>
      </c>
      <c r="U110" s="241">
        <f>U124</f>
        <v>0</v>
      </c>
      <c r="V110" s="241">
        <f>U122</f>
        <v>0</v>
      </c>
      <c r="X110" s="241">
        <f>SUM(S110:W110)</f>
        <v>3717</v>
      </c>
      <c r="Z110" s="241">
        <f>VLOOKUP(AC106,B301:AE314,6,0)</f>
        <v>71.904</v>
      </c>
      <c r="AA110" s="241">
        <f>ROUND(AB109*Z110%,0)</f>
        <v>0</v>
      </c>
      <c r="AB110" s="241">
        <f>AB109</f>
        <v>0</v>
      </c>
      <c r="AC110" s="328"/>
    </row>
    <row r="111" spans="3:27" ht="15">
      <c r="C111" s="323"/>
      <c r="H111" s="329"/>
      <c r="I111" s="329"/>
      <c r="J111" s="329"/>
      <c r="K111" s="329"/>
      <c r="L111" s="329"/>
      <c r="M111" s="329"/>
      <c r="N111" s="330"/>
      <c r="Z111" s="241">
        <f>VLOOKUP(AC106,B301:AE314,23,0)</f>
        <v>12</v>
      </c>
      <c r="AA111" s="241">
        <f>IF(Z111&gt;20,IF(ROUND(AB110*Z111%,0)&gt;12000,12000,ROUND(AB110*Z111%,0)),IF(ROUND(AB110*Z111%,0)&gt;8000,8000,ROUND(AB110*Z111%,0)))</f>
        <v>0</v>
      </c>
    </row>
    <row r="112" spans="1:37" ht="34.5" customHeight="1">
      <c r="A112" s="241">
        <v>1</v>
      </c>
      <c r="C112" s="323"/>
      <c r="E112" s="241">
        <f>'it data'!B645</f>
        <v>63.344</v>
      </c>
      <c r="F112" s="241">
        <f>'it data'!B646</f>
        <v>71.904</v>
      </c>
      <c r="G112" s="241">
        <f>IF(C136=1,F112,'it data'!C647)</f>
        <v>77.896</v>
      </c>
      <c r="H112" s="329"/>
      <c r="I112" s="331" t="s">
        <v>374</v>
      </c>
      <c r="J112" s="331" t="s">
        <v>375</v>
      </c>
      <c r="K112" s="331" t="s">
        <v>376</v>
      </c>
      <c r="L112" s="332" t="s">
        <v>377</v>
      </c>
      <c r="M112" s="333">
        <f>$Q$34</f>
        <v>2</v>
      </c>
      <c r="N112" s="330" t="s">
        <v>378</v>
      </c>
      <c r="P112" s="241" t="s">
        <v>341</v>
      </c>
      <c r="W112" s="334" t="s">
        <v>379</v>
      </c>
      <c r="X112" s="335"/>
      <c r="Y112" s="335"/>
      <c r="Z112" s="336" t="s">
        <v>380</v>
      </c>
      <c r="AD112" s="241" t="s">
        <v>373</v>
      </c>
      <c r="AE112" s="337" t="s">
        <v>381</v>
      </c>
      <c r="AI112" s="336" t="s">
        <v>382</v>
      </c>
      <c r="AJ112" s="338"/>
      <c r="AK112" s="336" t="s">
        <v>383</v>
      </c>
    </row>
    <row r="113" spans="1:31" ht="15">
      <c r="A113" s="241">
        <v>2</v>
      </c>
      <c r="D113" s="323" t="str">
        <f aca="true" t="shared" si="26" ref="D113:D126">E91</f>
        <v>Jan-2014</v>
      </c>
      <c r="E113" s="241">
        <v>1</v>
      </c>
      <c r="F113" s="241">
        <f aca="true" t="shared" si="27" ref="F113:F126">L91</f>
        <v>20680</v>
      </c>
      <c r="G113" s="241">
        <f>E112</f>
        <v>63.344</v>
      </c>
      <c r="H113" s="330"/>
      <c r="I113" s="330">
        <f>'it data'!B646</f>
        <v>71.904</v>
      </c>
      <c r="J113" s="330">
        <f>'it data'!B645</f>
        <v>63.344</v>
      </c>
      <c r="K113" s="330"/>
      <c r="L113" s="330">
        <f aca="true" t="shared" si="28" ref="L113:L126">$M$112</f>
        <v>2</v>
      </c>
      <c r="M113" s="339">
        <f aca="true" t="shared" si="29" ref="M113:M126">$F$112</f>
        <v>71.904</v>
      </c>
      <c r="N113" s="340">
        <f aca="true" t="shared" si="30" ref="N113:N119">IF(L119=3,ROUND(ROUND(F113*M113%,0)*10%,0),ROUND(F113*M113%,0))</f>
        <v>14870</v>
      </c>
      <c r="O113" s="328">
        <f aca="true" t="shared" si="31" ref="O113:O126">$E$112</f>
        <v>63.344</v>
      </c>
      <c r="P113" s="309">
        <f>IF(L119=3,ROUND(ROUND(F113*O113%,0)*10%,0),ROUND(F113*O113%,0))</f>
        <v>13100</v>
      </c>
      <c r="Q113" s="341"/>
      <c r="R113" s="341" t="s">
        <v>337</v>
      </c>
      <c r="S113" s="341" t="s">
        <v>384</v>
      </c>
      <c r="T113" s="341" t="s">
        <v>385</v>
      </c>
      <c r="U113" s="341" t="s">
        <v>386</v>
      </c>
      <c r="V113" s="241">
        <f>ROUND(F113*G113%,0)</f>
        <v>13100</v>
      </c>
      <c r="W113" s="315">
        <f aca="true" t="shared" si="32" ref="W113:W119">IF(L113=3,SUM(ROUND(F113*M113%,0)-ROUND(ROUND(F113*M113%,0)*10%,0)),0)</f>
        <v>0</v>
      </c>
      <c r="X113" s="241">
        <f aca="true" t="shared" si="33" ref="X113:X126">I91</f>
        <v>12</v>
      </c>
      <c r="Y113" s="241">
        <f>IF(X113&gt;20,IF(ROUND(F113*X113%,0)&gt;12000,12000,ROUND(F113*X113%,0)),IF(ROUND(F113*X113%,0)&gt;8000,8000,ROUND(F113*X113%,0)))</f>
        <v>2482</v>
      </c>
      <c r="Z113" s="315">
        <f>IF(L113=3,SUM(ROUND(F113*O113%,0)-ROUND(ROUND(F113*O113%,0)*10%,0)),0)</f>
        <v>0</v>
      </c>
      <c r="AD113" s="241">
        <v>0</v>
      </c>
      <c r="AE113" s="309">
        <f aca="true" t="shared" si="34" ref="AE113:AE119">SUM(N113-P113)</f>
        <v>1770</v>
      </c>
    </row>
    <row r="114" spans="1:31" ht="15">
      <c r="A114" s="241">
        <v>3</v>
      </c>
      <c r="C114" s="241">
        <v>1</v>
      </c>
      <c r="D114" s="323" t="str">
        <f t="shared" si="26"/>
        <v>Feb-2014</v>
      </c>
      <c r="E114" s="241">
        <v>2</v>
      </c>
      <c r="F114" s="241">
        <f t="shared" si="27"/>
        <v>20680</v>
      </c>
      <c r="G114" s="241">
        <f>IF(C132=2,IF(AND(C140&lt;=1),E112,E112),E112)</f>
        <v>63.344</v>
      </c>
      <c r="H114" s="330"/>
      <c r="I114" s="330"/>
      <c r="J114" s="330"/>
      <c r="K114" s="330"/>
      <c r="L114" s="330">
        <f t="shared" si="28"/>
        <v>2</v>
      </c>
      <c r="M114" s="339">
        <f t="shared" si="29"/>
        <v>71.904</v>
      </c>
      <c r="N114" s="340">
        <f t="shared" si="30"/>
        <v>14870</v>
      </c>
      <c r="O114" s="328">
        <f t="shared" si="31"/>
        <v>63.344</v>
      </c>
      <c r="P114" s="309">
        <f aca="true" t="shared" si="35" ref="P114:P119">IF(L120=3,ROUND(ROUND(F114*O114%,0)*10%,0),ROUND(F114*O114%,0))</f>
        <v>13100</v>
      </c>
      <c r="Q114" s="342"/>
      <c r="R114" s="342">
        <f>H115</f>
        <v>82720</v>
      </c>
      <c r="S114" s="342">
        <f>IF(C132=2,IF(AND(C140=1),SUM(N113:N114),IF(AND(C140=2),SUM(N113:N115),IF(AND(C140=3),SUM(N113:N116),IF(AND(C140=4),SUM(N113:N117),IF(AND(C140=5),SUM(N113:N118),IF(AND(C140=6),SUM(N113:N119),0)))))),0)</f>
        <v>59480</v>
      </c>
      <c r="T114" s="342">
        <f>IF(C132=2,IF(AND(C140=1),SUM(P113:P114),IF(AND(C140=2),SUM(P113:P115),IF(AND(C140=3),SUM(P113:P116),IF(AND(C140=4),SUM(P113:P117),IF(AND(C140=5),SUM(P113:P118),IF(AND(C140=6),SUM(P113:P119),0)))))),0)</f>
        <v>52400</v>
      </c>
      <c r="U114" s="342">
        <f>SUM(S114-T114)</f>
        <v>7080</v>
      </c>
      <c r="V114" s="241">
        <f aca="true" t="shared" si="36" ref="V114:V126">ROUND(F114*G114%,0)</f>
        <v>13100</v>
      </c>
      <c r="W114" s="315">
        <f t="shared" si="32"/>
        <v>0</v>
      </c>
      <c r="X114" s="241">
        <f t="shared" si="33"/>
        <v>12</v>
      </c>
      <c r="Y114" s="241">
        <f aca="true" t="shared" si="37" ref="Y114:Y126">IF(X114&gt;20,IF(ROUND(F114*X114%,0)&gt;12000,12000,ROUND(F114*X114%,0)),IF(ROUND(F114*X114%,0)&gt;8000,8000,ROUND(F114*X114%,0)))</f>
        <v>2482</v>
      </c>
      <c r="Z114" s="315">
        <f aca="true" t="shared" si="38" ref="Z114:Z119">IF(L114=3,SUM(ROUND(F114*O114%,0)-ROUND(ROUND(F114*O114%,0)*10%,0)),0)</f>
        <v>0</v>
      </c>
      <c r="AD114" s="241">
        <v>0</v>
      </c>
      <c r="AE114" s="309">
        <f t="shared" si="34"/>
        <v>1770</v>
      </c>
    </row>
    <row r="115" spans="1:31" ht="15">
      <c r="A115" s="241">
        <v>4</v>
      </c>
      <c r="B115" s="241">
        <v>1</v>
      </c>
      <c r="C115" s="241">
        <v>2</v>
      </c>
      <c r="D115" s="241" t="str">
        <f t="shared" si="26"/>
        <v>Mar-2014</v>
      </c>
      <c r="E115" s="241">
        <v>3</v>
      </c>
      <c r="F115" s="241">
        <f t="shared" si="27"/>
        <v>20680</v>
      </c>
      <c r="G115" s="241">
        <f>IF(C132=2,IF(AND(C140&lt;2),F112,E112),E112)</f>
        <v>63.344</v>
      </c>
      <c r="H115" s="330">
        <f>IF(C132=2,IF(AND(C140=1),SUM(F113:F114),IF(AND(C140=2),SUM(F113:F115),IF(AND(C140=3),SUM(F113:F116),IF(AND(C140=4),SUM(F113:F117),IF(AND(C140=5),SUM(F113:F118),IF(AND(C140=6),SUM(F113:F119),0)))))),0)</f>
        <v>82720</v>
      </c>
      <c r="I115" s="330">
        <f>ROUND(H115*I113%,0)</f>
        <v>59479</v>
      </c>
      <c r="J115" s="330">
        <f>ROUND(H115*J113%,0)</f>
        <v>52398</v>
      </c>
      <c r="K115" s="330">
        <f>SUM(I115-J115)</f>
        <v>7081</v>
      </c>
      <c r="L115" s="330">
        <f t="shared" si="28"/>
        <v>2</v>
      </c>
      <c r="M115" s="339">
        <f t="shared" si="29"/>
        <v>71.904</v>
      </c>
      <c r="N115" s="340">
        <f t="shared" si="30"/>
        <v>14870</v>
      </c>
      <c r="O115" s="328">
        <f t="shared" si="31"/>
        <v>63.344</v>
      </c>
      <c r="P115" s="309">
        <f t="shared" si="35"/>
        <v>13100</v>
      </c>
      <c r="Q115" s="342" t="s">
        <v>387</v>
      </c>
      <c r="R115" s="342">
        <f>IF(E140&gt;=AF106,AB109,0)</f>
        <v>0</v>
      </c>
      <c r="S115" s="342">
        <f>IF(M112=3,ROUND(ROUND(R115*F112%,0)*10%,0),ROUND(R115*F112%,0))</f>
        <v>0</v>
      </c>
      <c r="T115" s="342">
        <f>IF(M112=3,ROUND(ROUND(R115*E112%,0)*10%,0),ROUND(R115*E112%,0))</f>
        <v>0</v>
      </c>
      <c r="U115" s="342">
        <f>SUM(S115-T115)</f>
        <v>0</v>
      </c>
      <c r="V115" s="241">
        <f t="shared" si="36"/>
        <v>13100</v>
      </c>
      <c r="W115" s="315">
        <f t="shared" si="32"/>
        <v>0</v>
      </c>
      <c r="X115" s="241">
        <f t="shared" si="33"/>
        <v>12</v>
      </c>
      <c r="Y115" s="241">
        <f t="shared" si="37"/>
        <v>2482</v>
      </c>
      <c r="Z115" s="315">
        <f t="shared" si="38"/>
        <v>0</v>
      </c>
      <c r="AA115" s="241">
        <f aca="true" t="shared" si="39" ref="AA115:AA126">$C$145</f>
        <v>2</v>
      </c>
      <c r="AB115" s="241" t="str">
        <f>IF(AA115=3,SUM(ROUND(F115*10%,0),ROUND(V115*10%,0)),S93)</f>
        <v> </v>
      </c>
      <c r="AD115" s="241">
        <f>'it data'!$H$9</f>
        <v>0</v>
      </c>
      <c r="AE115" s="309">
        <f t="shared" si="34"/>
        <v>1770</v>
      </c>
    </row>
    <row r="116" spans="1:31" ht="15">
      <c r="A116" s="241">
        <v>5</v>
      </c>
      <c r="B116" s="241">
        <v>2</v>
      </c>
      <c r="C116" s="241">
        <v>3</v>
      </c>
      <c r="D116" s="241" t="str">
        <f t="shared" si="26"/>
        <v>Apr-2014</v>
      </c>
      <c r="E116" s="241">
        <v>4</v>
      </c>
      <c r="F116" s="241">
        <f t="shared" si="27"/>
        <v>20680</v>
      </c>
      <c r="G116" s="241">
        <f>IF(C132=2,IF(AND(C140&lt;3),F112,E112),E112)</f>
        <v>63.344</v>
      </c>
      <c r="L116" s="241">
        <f t="shared" si="28"/>
        <v>2</v>
      </c>
      <c r="M116" s="328">
        <f t="shared" si="29"/>
        <v>71.904</v>
      </c>
      <c r="N116" s="340">
        <f t="shared" si="30"/>
        <v>14870</v>
      </c>
      <c r="O116" s="328">
        <f t="shared" si="31"/>
        <v>63.344</v>
      </c>
      <c r="P116" s="309">
        <f t="shared" si="35"/>
        <v>13100</v>
      </c>
      <c r="Q116" s="342" t="s">
        <v>332</v>
      </c>
      <c r="R116" s="342">
        <f>IF(Q14&lt;=8,IF(H140&lt;=E140,O76,0),0)</f>
        <v>0</v>
      </c>
      <c r="S116" s="342">
        <f>IF(M112=3,ROUND(ROUND(R116*F112%,0)*10%,0),ROUND(R116*F112%,0))</f>
        <v>0</v>
      </c>
      <c r="T116" s="342">
        <f>IF(M112=3,ROUND(ROUND(R116*E112%,0)*10%,0),ROUND(R116*E112%,0))</f>
        <v>0</v>
      </c>
      <c r="U116" s="342">
        <f>SUM(S116-T116)</f>
        <v>0</v>
      </c>
      <c r="V116" s="241">
        <f t="shared" si="36"/>
        <v>13100</v>
      </c>
      <c r="W116" s="315">
        <f t="shared" si="32"/>
        <v>0</v>
      </c>
      <c r="X116" s="241">
        <f t="shared" si="33"/>
        <v>12</v>
      </c>
      <c r="Y116" s="241">
        <f t="shared" si="37"/>
        <v>2482</v>
      </c>
      <c r="Z116" s="315">
        <f t="shared" si="38"/>
        <v>0</v>
      </c>
      <c r="AA116" s="241">
        <f t="shared" si="39"/>
        <v>2</v>
      </c>
      <c r="AB116" s="241" t="str">
        <f aca="true" t="shared" si="40" ref="AB116:AB125">IF(AA116=3,SUM(ROUND(F116*10%,0),ROUND(V116*10%,0)),S94)</f>
        <v> </v>
      </c>
      <c r="AD116" s="241">
        <f>'it data'!$H$9</f>
        <v>0</v>
      </c>
      <c r="AE116" s="309">
        <f t="shared" si="34"/>
        <v>1770</v>
      </c>
    </row>
    <row r="117" spans="1:31" ht="15">
      <c r="A117" s="241">
        <v>6</v>
      </c>
      <c r="B117" s="241">
        <v>3</v>
      </c>
      <c r="C117" s="241">
        <v>4</v>
      </c>
      <c r="D117" s="241" t="str">
        <f t="shared" si="26"/>
        <v>May-2014</v>
      </c>
      <c r="E117" s="241">
        <v>5</v>
      </c>
      <c r="F117" s="241">
        <f t="shared" si="27"/>
        <v>20680</v>
      </c>
      <c r="G117" s="241">
        <f>IF(C132=2,IF(AND(C140&lt;4),F112,E112),E112)</f>
        <v>71.904</v>
      </c>
      <c r="H117" s="241">
        <f>IF(C136=2,IF(AND(C142=1),SUM(F119:F120),IF(AND(C142=2),SUM(F119:F121),IF(AND(C142=3),SUM(F119:F122),IF(AND(C142=4),SUM(F119:F123),IF(AND(C142=5),SUM(F119:F124),IF(AND(C142=6),SUM(F119:F125),SUM(F119:F126))))))),0)</f>
        <v>62040</v>
      </c>
      <c r="I117" s="241">
        <f>ROUND(H117*G112%,0)</f>
        <v>48327</v>
      </c>
      <c r="J117" s="241">
        <f>ROUND(H117*F112%,0)</f>
        <v>44609</v>
      </c>
      <c r="K117" s="241">
        <f>SUM(I117-J117)</f>
        <v>3718</v>
      </c>
      <c r="L117" s="241">
        <f t="shared" si="28"/>
        <v>2</v>
      </c>
      <c r="M117" s="328">
        <f t="shared" si="29"/>
        <v>71.904</v>
      </c>
      <c r="N117" s="340">
        <f t="shared" si="30"/>
        <v>14870</v>
      </c>
      <c r="O117" s="328">
        <f t="shared" si="31"/>
        <v>63.344</v>
      </c>
      <c r="P117" s="309">
        <f t="shared" si="35"/>
        <v>13100</v>
      </c>
      <c r="Q117" s="342" t="s">
        <v>388</v>
      </c>
      <c r="R117" s="342">
        <f>IF(L140&lt;=E140,O81,0)</f>
        <v>0</v>
      </c>
      <c r="S117" s="342">
        <f>IF(M112=3,ROUND(ROUND(R117*F112%,0)*10%,0),ROUND(R117*F112%,0))</f>
        <v>0</v>
      </c>
      <c r="T117" s="342">
        <f>IF(M112=3,ROUND(ROUND(R117*E112%,0)*10%,0),ROUND(R117*E112%,0))</f>
        <v>0</v>
      </c>
      <c r="U117" s="342">
        <f>SUM(S117-T117)</f>
        <v>0</v>
      </c>
      <c r="V117" s="241">
        <f t="shared" si="36"/>
        <v>14870</v>
      </c>
      <c r="W117" s="315">
        <f t="shared" si="32"/>
        <v>0</v>
      </c>
      <c r="X117" s="241">
        <f t="shared" si="33"/>
        <v>12</v>
      </c>
      <c r="Y117" s="241">
        <f t="shared" si="37"/>
        <v>2482</v>
      </c>
      <c r="Z117" s="315">
        <f t="shared" si="38"/>
        <v>0</v>
      </c>
      <c r="AA117" s="241">
        <f t="shared" si="39"/>
        <v>2</v>
      </c>
      <c r="AB117" s="241" t="str">
        <f t="shared" si="40"/>
        <v> </v>
      </c>
      <c r="AD117" s="241">
        <f>'it data'!$H$9</f>
        <v>0</v>
      </c>
      <c r="AE117" s="309">
        <f t="shared" si="34"/>
        <v>1770</v>
      </c>
    </row>
    <row r="118" spans="1:31" ht="24" customHeight="1">
      <c r="A118" s="241">
        <v>7</v>
      </c>
      <c r="B118" s="241">
        <v>4</v>
      </c>
      <c r="C118" s="241">
        <v>5</v>
      </c>
      <c r="D118" s="241" t="str">
        <f t="shared" si="26"/>
        <v>Jun-2014</v>
      </c>
      <c r="E118" s="241">
        <v>6</v>
      </c>
      <c r="F118" s="241">
        <f t="shared" si="27"/>
        <v>20680</v>
      </c>
      <c r="G118" s="241">
        <f>IF(C132=2,IF(AND(C140&lt;5),F112,E112),E112)</f>
        <v>71.904</v>
      </c>
      <c r="H118" s="343" t="s">
        <v>389</v>
      </c>
      <c r="I118" s="344" t="s">
        <v>390</v>
      </c>
      <c r="K118" s="343" t="s">
        <v>391</v>
      </c>
      <c r="L118" s="241">
        <f t="shared" si="28"/>
        <v>2</v>
      </c>
      <c r="M118" s="328">
        <f t="shared" si="29"/>
        <v>71.904</v>
      </c>
      <c r="N118" s="340">
        <f t="shared" si="30"/>
        <v>14870</v>
      </c>
      <c r="O118" s="328">
        <f t="shared" si="31"/>
        <v>63.344</v>
      </c>
      <c r="P118" s="309">
        <f t="shared" si="35"/>
        <v>13100</v>
      </c>
      <c r="Q118" s="342" t="s">
        <v>369</v>
      </c>
      <c r="R118" s="342">
        <f>SUM(R114:R117)</f>
        <v>82720</v>
      </c>
      <c r="S118" s="342">
        <f>SUM(S114:S117)</f>
        <v>59480</v>
      </c>
      <c r="T118" s="342">
        <f>SUM(T114:T117)</f>
        <v>52400</v>
      </c>
      <c r="U118" s="342">
        <f>SUM(U114:U117)</f>
        <v>7080</v>
      </c>
      <c r="V118" s="241">
        <f t="shared" si="36"/>
        <v>14870</v>
      </c>
      <c r="W118" s="315">
        <f t="shared" si="32"/>
        <v>0</v>
      </c>
      <c r="X118" s="241">
        <f t="shared" si="33"/>
        <v>12</v>
      </c>
      <c r="Y118" s="241">
        <f t="shared" si="37"/>
        <v>2482</v>
      </c>
      <c r="Z118" s="315">
        <f t="shared" si="38"/>
        <v>0</v>
      </c>
      <c r="AA118" s="241">
        <f t="shared" si="39"/>
        <v>2</v>
      </c>
      <c r="AB118" s="241" t="str">
        <f t="shared" si="40"/>
        <v> </v>
      </c>
      <c r="AD118" s="241">
        <f>'it data'!$H$9</f>
        <v>0</v>
      </c>
      <c r="AE118" s="309">
        <f t="shared" si="34"/>
        <v>1770</v>
      </c>
    </row>
    <row r="119" spans="1:37" s="279" customFormat="1" ht="15">
      <c r="A119" s="279">
        <v>8</v>
      </c>
      <c r="B119" s="279">
        <v>5</v>
      </c>
      <c r="C119" s="279">
        <v>6</v>
      </c>
      <c r="D119" s="279" t="str">
        <f t="shared" si="26"/>
        <v>Jul-2014</v>
      </c>
      <c r="E119" s="279">
        <v>7</v>
      </c>
      <c r="F119" s="279">
        <f t="shared" si="27"/>
        <v>20680</v>
      </c>
      <c r="G119" s="279">
        <f>IF(C132=2,IF(AND(C140&lt;6),F112,E112),E112)</f>
        <v>71.904</v>
      </c>
      <c r="H119" s="345">
        <f>IF(L119=3,ROUND(ROUND(F119*M119%,0)*10%,0),ROUND(F119*M119%,0))</f>
        <v>14870</v>
      </c>
      <c r="I119" s="279">
        <f>SUM(K119-H119)</f>
        <v>1239</v>
      </c>
      <c r="J119" s="279">
        <f>$J$120</f>
        <v>77.896</v>
      </c>
      <c r="K119" s="345">
        <f>IF(L119=3,ROUND(ROUND(F119*J119%,0)*10%,0),ROUND(F119*J119%,0))</f>
        <v>16109</v>
      </c>
      <c r="L119" s="279">
        <f t="shared" si="28"/>
        <v>2</v>
      </c>
      <c r="M119" s="346">
        <f t="shared" si="29"/>
        <v>71.904</v>
      </c>
      <c r="N119" s="340">
        <f t="shared" si="30"/>
        <v>14870</v>
      </c>
      <c r="O119" s="346">
        <f t="shared" si="31"/>
        <v>63.344</v>
      </c>
      <c r="P119" s="309">
        <f t="shared" si="35"/>
        <v>13100</v>
      </c>
      <c r="V119" s="279">
        <f t="shared" si="36"/>
        <v>14870</v>
      </c>
      <c r="W119" s="279">
        <f t="shared" si="32"/>
        <v>0</v>
      </c>
      <c r="X119" s="279">
        <f t="shared" si="33"/>
        <v>12</v>
      </c>
      <c r="Y119" s="279">
        <f t="shared" si="37"/>
        <v>2482</v>
      </c>
      <c r="Z119" s="279">
        <f t="shared" si="38"/>
        <v>0</v>
      </c>
      <c r="AA119" s="279">
        <f t="shared" si="39"/>
        <v>2</v>
      </c>
      <c r="AB119" s="279" t="str">
        <f t="shared" si="40"/>
        <v> </v>
      </c>
      <c r="AD119" s="279">
        <f>'it data'!$H$9</f>
        <v>0</v>
      </c>
      <c r="AE119" s="309">
        <f t="shared" si="34"/>
        <v>1770</v>
      </c>
      <c r="AF119" s="241"/>
      <c r="AG119" s="241"/>
      <c r="AH119" s="241"/>
      <c r="AI119" s="279">
        <f>IF(L119=3,SUM(ROUND(F119*J119%,0)-ROUND(ROUND(F119*J119%,0)*10%,0)),0)</f>
        <v>0</v>
      </c>
      <c r="AK119" s="279">
        <f>IF(L119=3,SUM(ROUND(F119*M119%,0)-ROUND(ROUND(F119*M119%,0)*10%,0)),0)</f>
        <v>0</v>
      </c>
    </row>
    <row r="120" spans="1:37" ht="15">
      <c r="A120" s="241">
        <v>9</v>
      </c>
      <c r="B120" s="241">
        <v>6</v>
      </c>
      <c r="C120" s="241">
        <v>1</v>
      </c>
      <c r="D120" s="241" t="str">
        <f t="shared" si="26"/>
        <v>Aug-2014</v>
      </c>
      <c r="E120" s="241">
        <v>8</v>
      </c>
      <c r="F120" s="241">
        <f t="shared" si="27"/>
        <v>20680</v>
      </c>
      <c r="G120" s="241">
        <f>IF(AND(C136=1),F112,IF(AND(C142&lt;1),G112,F112))</f>
        <v>71.904</v>
      </c>
      <c r="H120" s="345">
        <f aca="true" t="shared" si="41" ref="H120:H126">IF(L120=3,ROUND(ROUND(F120*M120%,0)*10%,0),ROUND(F120*M120%,0))</f>
        <v>14870</v>
      </c>
      <c r="I120" s="345">
        <f aca="true" t="shared" si="42" ref="I120:I126">SUM(K120-H120)</f>
        <v>1239</v>
      </c>
      <c r="J120" s="241">
        <f aca="true" t="shared" si="43" ref="J120:J126">$G$112</f>
        <v>77.896</v>
      </c>
      <c r="K120" s="345">
        <f aca="true" t="shared" si="44" ref="K120:K126">IF(L120=3,ROUND(ROUND(F120*J120%,0)*10%,0),ROUND(F120*J120%,0))</f>
        <v>16109</v>
      </c>
      <c r="L120" s="241">
        <f t="shared" si="28"/>
        <v>2</v>
      </c>
      <c r="M120" s="328">
        <f t="shared" si="29"/>
        <v>71.904</v>
      </c>
      <c r="N120" s="330">
        <f>IF(L120=3,ROUND(ROUND(F120*M120%,0)*10%,0),ROUND(F120*M120%,0))</f>
        <v>14870</v>
      </c>
      <c r="O120" s="328">
        <f t="shared" si="31"/>
        <v>63.344</v>
      </c>
      <c r="P120" s="279">
        <f>IF(L120=3,ROUND(ROUND(F120*O120%,0)*10%,0),ROUND(F120*O120%,0))</f>
        <v>13100</v>
      </c>
      <c r="R120" s="341" t="s">
        <v>337</v>
      </c>
      <c r="S120" s="341" t="s">
        <v>384</v>
      </c>
      <c r="T120" s="341" t="s">
        <v>385</v>
      </c>
      <c r="U120" s="341" t="s">
        <v>386</v>
      </c>
      <c r="V120" s="241">
        <f t="shared" si="36"/>
        <v>14870</v>
      </c>
      <c r="W120" s="279"/>
      <c r="X120" s="241">
        <f t="shared" si="33"/>
        <v>12</v>
      </c>
      <c r="Y120" s="241">
        <f t="shared" si="37"/>
        <v>2482</v>
      </c>
      <c r="AA120" s="241">
        <f t="shared" si="39"/>
        <v>2</v>
      </c>
      <c r="AB120" s="241" t="str">
        <f t="shared" si="40"/>
        <v> </v>
      </c>
      <c r="AD120" s="241">
        <f>'it data'!$H$9</f>
        <v>0</v>
      </c>
      <c r="AE120" s="347">
        <f>IF(C132=2,IF(AND(C140=1),SUM(AE113:AE114),IF(AND(C140=2),SUM(AE113:AE115),IF(AND(C140=3),SUM(AE113:AE116),IF(AND(C140=4),SUM(AE113:AE117),IF(AND(C140=5),SUM(AE113:AE118),IF(AND(C140=6),SUM(AE113:AE119),0)))))),0)</f>
        <v>7080</v>
      </c>
      <c r="AI120" s="326">
        <f>IF(L120=3,SUM(ROUND(F120*J120%,0)-ROUND(ROUND(F120*J120%,0)*10%,0)),0)</f>
        <v>0</v>
      </c>
      <c r="AK120" s="326">
        <f aca="true" t="shared" si="45" ref="AK120:AK126">IF(L120=3,SUM(ROUND(F120*M120%,0)-ROUND(ROUND(F120*M120%,0)*10%,0)),0)</f>
        <v>0</v>
      </c>
    </row>
    <row r="121" spans="1:37" ht="34.5">
      <c r="A121" s="241">
        <v>10</v>
      </c>
      <c r="B121" s="241">
        <v>7</v>
      </c>
      <c r="C121" s="241">
        <v>2</v>
      </c>
      <c r="D121" s="241" t="str">
        <f t="shared" si="26"/>
        <v>Sep-2014</v>
      </c>
      <c r="E121" s="241">
        <v>9</v>
      </c>
      <c r="F121" s="241">
        <f t="shared" si="27"/>
        <v>20680</v>
      </c>
      <c r="G121" s="241">
        <f>IF(AND(C136=1),F112,IF(AND(C142&lt;2),G112,F112))</f>
        <v>71.904</v>
      </c>
      <c r="H121" s="345">
        <f t="shared" si="41"/>
        <v>14870</v>
      </c>
      <c r="I121" s="345">
        <f t="shared" si="42"/>
        <v>1239</v>
      </c>
      <c r="J121" s="241">
        <f t="shared" si="43"/>
        <v>77.896</v>
      </c>
      <c r="K121" s="345">
        <f t="shared" si="44"/>
        <v>16109</v>
      </c>
      <c r="L121" s="241">
        <f t="shared" si="28"/>
        <v>2</v>
      </c>
      <c r="M121" s="328">
        <f t="shared" si="29"/>
        <v>71.904</v>
      </c>
      <c r="N121" s="330">
        <f aca="true" t="shared" si="46" ref="N121:N126">IF(L121=3,ROUND(ROUND(F121*M121%,0)*10%,0),ROUND(F121*M121%,0))</f>
        <v>14870</v>
      </c>
      <c r="O121" s="328">
        <f t="shared" si="31"/>
        <v>63.344</v>
      </c>
      <c r="P121" s="279">
        <f aca="true" t="shared" si="47" ref="P121:P126">IF(L121=3,ROUND(ROUND(F121*O121%,0)*10%,0),ROUND(F121*O121%,0))</f>
        <v>13100</v>
      </c>
      <c r="R121" s="341">
        <f>H117</f>
        <v>62040</v>
      </c>
      <c r="S121" s="341">
        <f>IF(C136=2,IF(AND(C142=1),SUM(K119:K120),IF(AND(C142=2),SUM(K119:K121),IF(AND(C142=3),SUM(K119:K122),IF(AND(C142=4),SUM(K119:K123),IF(AND(C142=5),SUM(K119:K124),IF(AND(C142=6),SUM(K119:K125),SUM(K119:K126))))))),0)</f>
        <v>48327</v>
      </c>
      <c r="T121" s="341">
        <f>IF(C136=2,IF(AND(C142=1),SUM(H119:H120),IF(AND(C142=2),SUM(H119:H121),IF(AND(C142=3),SUM(H119:H122),IF(AND(C142=4),SUM(H119:H123),IF(AND(C142=5),SUM(H119:H124),IF(AND(C142=6),SUM(H119:H125),SUM(H119:H126))))))),0)</f>
        <v>44610</v>
      </c>
      <c r="U121" s="341">
        <f>SUM(S121-T121)</f>
        <v>3717</v>
      </c>
      <c r="V121" s="241">
        <f t="shared" si="36"/>
        <v>14870</v>
      </c>
      <c r="W121" s="315">
        <f>IF(M112=3,IF(AND(C140=1),SUM(W113:W114),IF(AND(C140=2),SUM(W113:W115),IF(AND(C140=3),SUM(W113:W116),IF(AND(C140=4),SUM(W113:W117),IF(AND(C140=5),SUM(W113:W118),IF(AND(C140=6),SUM(W113:W119),0)))))),0)</f>
        <v>0</v>
      </c>
      <c r="X121" s="241">
        <f t="shared" si="33"/>
        <v>12</v>
      </c>
      <c r="Y121" s="241">
        <f t="shared" si="37"/>
        <v>2482</v>
      </c>
      <c r="Z121" s="315">
        <f>IF(M112=3,IF(AND(C140=1),SUM(Z113:Z114),IF(AND(C140=2),SUM(Z113:Z115),IF(AND(C140=3),SUM(Z113:Z116),IF(AND(C140=4),SUM(Z113:Z117),IF(AND(C140=5),SUM(Z113:Z118),IF(AND(C140=6),SUM(Z113:Z119),0)))))),0)</f>
        <v>0</v>
      </c>
      <c r="AA121" s="241">
        <f t="shared" si="39"/>
        <v>2</v>
      </c>
      <c r="AB121" s="241" t="str">
        <f t="shared" si="40"/>
        <v> </v>
      </c>
      <c r="AD121" s="241">
        <f>'it data'!$H$9</f>
        <v>0</v>
      </c>
      <c r="AF121" s="348">
        <f>SUM(W121-Z121)</f>
        <v>0</v>
      </c>
      <c r="AG121" s="349" t="s">
        <v>392</v>
      </c>
      <c r="AI121" s="326">
        <f aca="true" t="shared" si="48" ref="AI121:AI126">IF(L121=3,SUM(ROUND(F121*J121%,0)-ROUND(ROUND(F121*J121%,0)*10%,0)),0)</f>
        <v>0</v>
      </c>
      <c r="AK121" s="326">
        <f t="shared" si="45"/>
        <v>0</v>
      </c>
    </row>
    <row r="122" spans="1:37" ht="15">
      <c r="A122" s="241">
        <v>11</v>
      </c>
      <c r="B122" s="241">
        <v>8</v>
      </c>
      <c r="C122" s="241">
        <v>3</v>
      </c>
      <c r="D122" s="241" t="str">
        <f t="shared" si="26"/>
        <v>Oct-2014</v>
      </c>
      <c r="E122" s="241">
        <v>10</v>
      </c>
      <c r="F122" s="241">
        <f t="shared" si="27"/>
        <v>20680</v>
      </c>
      <c r="G122" s="241">
        <f>IF(AND(C136=1),F112,IF(AND(C142&lt;3),G112,F112))</f>
        <v>77.896</v>
      </c>
      <c r="H122" s="345">
        <f t="shared" si="41"/>
        <v>14870</v>
      </c>
      <c r="I122" s="345">
        <f t="shared" si="42"/>
        <v>1239</v>
      </c>
      <c r="J122" s="241">
        <f t="shared" si="43"/>
        <v>77.896</v>
      </c>
      <c r="K122" s="345">
        <f t="shared" si="44"/>
        <v>16109</v>
      </c>
      <c r="L122" s="241">
        <f t="shared" si="28"/>
        <v>2</v>
      </c>
      <c r="M122" s="328">
        <f t="shared" si="29"/>
        <v>71.904</v>
      </c>
      <c r="N122" s="330">
        <f t="shared" si="46"/>
        <v>14870</v>
      </c>
      <c r="O122" s="328">
        <f t="shared" si="31"/>
        <v>63.344</v>
      </c>
      <c r="P122" s="279">
        <f t="shared" si="47"/>
        <v>13100</v>
      </c>
      <c r="Q122" s="326" t="s">
        <v>387</v>
      </c>
      <c r="R122" s="350">
        <f>IF(AND(D141&lt;=AF106,AF106&lt;=E142),AB109,0)</f>
        <v>0</v>
      </c>
      <c r="S122" s="350">
        <f>IF(M112=3,ROUND(ROUND(R122*G112%,0)*10%,0),ROUND(R122*G112%,0))</f>
        <v>0</v>
      </c>
      <c r="T122" s="350">
        <f>IF(M112=3,ROUND(ROUND(R122*F112%,0)*10%,0),ROUND(R122*F112%,0))</f>
        <v>0</v>
      </c>
      <c r="U122" s="350">
        <f>SUM(S122-T122)</f>
        <v>0</v>
      </c>
      <c r="V122" s="241">
        <f t="shared" si="36"/>
        <v>16109</v>
      </c>
      <c r="W122" s="279"/>
      <c r="X122" s="241">
        <f t="shared" si="33"/>
        <v>12</v>
      </c>
      <c r="Y122" s="241">
        <f t="shared" si="37"/>
        <v>2482</v>
      </c>
      <c r="AA122" s="241">
        <f t="shared" si="39"/>
        <v>2</v>
      </c>
      <c r="AB122" s="241" t="str">
        <f t="shared" si="40"/>
        <v> </v>
      </c>
      <c r="AD122" s="241">
        <f>'it data'!$H$9</f>
        <v>0</v>
      </c>
      <c r="AE122" s="351" t="s">
        <v>393</v>
      </c>
      <c r="AF122" s="309">
        <f>SUM(AF121+AE120)</f>
        <v>7080</v>
      </c>
      <c r="AI122" s="326">
        <f t="shared" si="48"/>
        <v>0</v>
      </c>
      <c r="AK122" s="326">
        <f t="shared" si="45"/>
        <v>0</v>
      </c>
    </row>
    <row r="123" spans="1:37" ht="15">
      <c r="A123" s="241">
        <v>12</v>
      </c>
      <c r="B123" s="241">
        <v>9</v>
      </c>
      <c r="C123" s="241">
        <v>4</v>
      </c>
      <c r="D123" s="241" t="str">
        <f t="shared" si="26"/>
        <v>Nov-2014</v>
      </c>
      <c r="E123" s="241">
        <v>11</v>
      </c>
      <c r="F123" s="241">
        <f t="shared" si="27"/>
        <v>21250</v>
      </c>
      <c r="G123" s="241">
        <f>IF(AND(C136=1),F112,IF(AND(C142&lt;4),G112,F112))</f>
        <v>77.896</v>
      </c>
      <c r="H123" s="345">
        <f t="shared" si="41"/>
        <v>15280</v>
      </c>
      <c r="I123" s="345">
        <f t="shared" si="42"/>
        <v>1273</v>
      </c>
      <c r="J123" s="241">
        <f t="shared" si="43"/>
        <v>77.896</v>
      </c>
      <c r="K123" s="345">
        <f t="shared" si="44"/>
        <v>16553</v>
      </c>
      <c r="L123" s="241">
        <f t="shared" si="28"/>
        <v>2</v>
      </c>
      <c r="M123" s="328">
        <f t="shared" si="29"/>
        <v>71.904</v>
      </c>
      <c r="N123" s="330">
        <f t="shared" si="46"/>
        <v>15280</v>
      </c>
      <c r="O123" s="328">
        <f t="shared" si="31"/>
        <v>63.344</v>
      </c>
      <c r="P123" s="279">
        <f t="shared" si="47"/>
        <v>13461</v>
      </c>
      <c r="Q123" s="309" t="s">
        <v>332</v>
      </c>
      <c r="R123" s="348">
        <f>IF(Q14&gt;=8,IF(E142&gt;=H140,O76,0),0)</f>
        <v>0</v>
      </c>
      <c r="S123" s="348">
        <f>IF(M112=3,ROUND(ROUND(R123*G112%,0)*10%,0),ROUND(R123*G112%,0))</f>
        <v>0</v>
      </c>
      <c r="T123" s="348">
        <f>IF(M112=3,ROUND(ROUND(R123*F112%,0)*10%,0),ROUND(R123*F112%,0))</f>
        <v>0</v>
      </c>
      <c r="U123" s="348">
        <f>SUM(S123-T123)</f>
        <v>0</v>
      </c>
      <c r="V123" s="241">
        <f t="shared" si="36"/>
        <v>16553</v>
      </c>
      <c r="W123" s="279"/>
      <c r="X123" s="241">
        <f t="shared" si="33"/>
        <v>12</v>
      </c>
      <c r="Y123" s="241">
        <f t="shared" si="37"/>
        <v>2550</v>
      </c>
      <c r="AA123" s="241">
        <f t="shared" si="39"/>
        <v>2</v>
      </c>
      <c r="AB123" s="241" t="str">
        <f t="shared" si="40"/>
        <v> </v>
      </c>
      <c r="AD123" s="241">
        <f>'it data'!$H$9</f>
        <v>0</v>
      </c>
      <c r="AI123" s="326">
        <f t="shared" si="48"/>
        <v>0</v>
      </c>
      <c r="AK123" s="326">
        <f t="shared" si="45"/>
        <v>0</v>
      </c>
    </row>
    <row r="124" spans="1:37" ht="15">
      <c r="A124" s="241">
        <v>13</v>
      </c>
      <c r="B124" s="241">
        <v>10</v>
      </c>
      <c r="C124" s="241">
        <v>5</v>
      </c>
      <c r="D124" s="241" t="str">
        <f t="shared" si="26"/>
        <v>Dec-2014</v>
      </c>
      <c r="E124" s="241">
        <v>12</v>
      </c>
      <c r="F124" s="241">
        <f t="shared" si="27"/>
        <v>21250</v>
      </c>
      <c r="G124" s="241">
        <f>IF(AND(C136=1),F112,IF(AND(C142&lt;5),G112,F112))</f>
        <v>77.896</v>
      </c>
      <c r="H124" s="345">
        <f t="shared" si="41"/>
        <v>15280</v>
      </c>
      <c r="I124" s="345">
        <f t="shared" si="42"/>
        <v>1273</v>
      </c>
      <c r="J124" s="241">
        <f t="shared" si="43"/>
        <v>77.896</v>
      </c>
      <c r="K124" s="345">
        <f t="shared" si="44"/>
        <v>16553</v>
      </c>
      <c r="L124" s="241">
        <f t="shared" si="28"/>
        <v>2</v>
      </c>
      <c r="M124" s="328">
        <f t="shared" si="29"/>
        <v>71.904</v>
      </c>
      <c r="N124" s="330">
        <f t="shared" si="46"/>
        <v>15280</v>
      </c>
      <c r="O124" s="328">
        <f t="shared" si="31"/>
        <v>63.344</v>
      </c>
      <c r="P124" s="279">
        <f t="shared" si="47"/>
        <v>13461</v>
      </c>
      <c r="Q124" s="352" t="s">
        <v>388</v>
      </c>
      <c r="R124" s="325">
        <f>IF(AND(L140&gt;=D141,L140&lt;=E142),O81,0)</f>
        <v>0</v>
      </c>
      <c r="S124" s="325">
        <f>IF(M112=3,ROUND(ROUND(R124*G112%,0)*10%,0),ROUND(R124*G112%,0))</f>
        <v>0</v>
      </c>
      <c r="T124" s="325">
        <f>IF(M112=3,ROUND(ROUND(R124*F112%,0)*10%,0),ROUND(R124*F112%,0))</f>
        <v>0</v>
      </c>
      <c r="U124" s="325">
        <f>SUM(S124-T124)</f>
        <v>0</v>
      </c>
      <c r="V124" s="241">
        <f t="shared" si="36"/>
        <v>16553</v>
      </c>
      <c r="W124" s="279"/>
      <c r="X124" s="241">
        <f t="shared" si="33"/>
        <v>12</v>
      </c>
      <c r="Y124" s="241">
        <f t="shared" si="37"/>
        <v>2550</v>
      </c>
      <c r="AA124" s="241">
        <f t="shared" si="39"/>
        <v>2</v>
      </c>
      <c r="AB124" s="241" t="str">
        <f t="shared" si="40"/>
        <v> </v>
      </c>
      <c r="AD124" s="241">
        <f>'it data'!$H$9</f>
        <v>0</v>
      </c>
      <c r="AI124" s="326">
        <f t="shared" si="48"/>
        <v>0</v>
      </c>
      <c r="AK124" s="326">
        <f t="shared" si="45"/>
        <v>0</v>
      </c>
    </row>
    <row r="125" spans="1:37" ht="15">
      <c r="A125" s="241">
        <v>14</v>
      </c>
      <c r="B125" s="241">
        <v>11</v>
      </c>
      <c r="C125" s="241">
        <v>6</v>
      </c>
      <c r="D125" s="241" t="str">
        <f t="shared" si="26"/>
        <v>Jan-2015</v>
      </c>
      <c r="E125" s="241">
        <v>13</v>
      </c>
      <c r="F125" s="241">
        <f t="shared" si="27"/>
        <v>21250</v>
      </c>
      <c r="G125" s="241">
        <f>IF(AND(C136=1),F112,IF(AND(C142&lt;6),G112,F112))</f>
        <v>77.896</v>
      </c>
      <c r="H125" s="345">
        <f t="shared" si="41"/>
        <v>15280</v>
      </c>
      <c r="I125" s="345">
        <f t="shared" si="42"/>
        <v>1273</v>
      </c>
      <c r="J125" s="241">
        <f t="shared" si="43"/>
        <v>77.896</v>
      </c>
      <c r="K125" s="345">
        <f t="shared" si="44"/>
        <v>16553</v>
      </c>
      <c r="L125" s="241">
        <f t="shared" si="28"/>
        <v>2</v>
      </c>
      <c r="M125" s="328">
        <f t="shared" si="29"/>
        <v>71.904</v>
      </c>
      <c r="N125" s="330">
        <f t="shared" si="46"/>
        <v>15280</v>
      </c>
      <c r="O125" s="328">
        <f t="shared" si="31"/>
        <v>63.344</v>
      </c>
      <c r="P125" s="279">
        <f t="shared" si="47"/>
        <v>13461</v>
      </c>
      <c r="Q125" s="241" t="s">
        <v>369</v>
      </c>
      <c r="R125" s="341">
        <f>SUM(R121:R124)</f>
        <v>62040</v>
      </c>
      <c r="S125" s="341">
        <f>SUM(S121:S124)</f>
        <v>48327</v>
      </c>
      <c r="T125" s="341">
        <f>SUM(T121:T124)</f>
        <v>44610</v>
      </c>
      <c r="U125" s="341">
        <f>SUM(U121:U124)</f>
        <v>3717</v>
      </c>
      <c r="V125" s="241">
        <f t="shared" si="36"/>
        <v>16553</v>
      </c>
      <c r="W125" s="279"/>
      <c r="X125" s="241">
        <f t="shared" si="33"/>
        <v>12</v>
      </c>
      <c r="Y125" s="241">
        <f t="shared" si="37"/>
        <v>2550</v>
      </c>
      <c r="AA125" s="241">
        <f t="shared" si="39"/>
        <v>2</v>
      </c>
      <c r="AB125" s="241" t="str">
        <f t="shared" si="40"/>
        <v> </v>
      </c>
      <c r="AD125" s="241">
        <f>'it data'!$H$9</f>
        <v>0</v>
      </c>
      <c r="AI125" s="326">
        <f t="shared" si="48"/>
        <v>0</v>
      </c>
      <c r="AK125" s="326">
        <f t="shared" si="45"/>
        <v>0</v>
      </c>
    </row>
    <row r="126" spans="1:37" ht="15">
      <c r="A126" s="241">
        <v>15</v>
      </c>
      <c r="B126" s="241">
        <v>12</v>
      </c>
      <c r="C126" s="241">
        <v>7</v>
      </c>
      <c r="D126" s="241" t="str">
        <f t="shared" si="26"/>
        <v>Feb-2015</v>
      </c>
      <c r="E126" s="241">
        <v>14</v>
      </c>
      <c r="F126" s="241">
        <f t="shared" si="27"/>
        <v>21250</v>
      </c>
      <c r="G126" s="241">
        <f>IF(AND(C136=1),F112,IF(AND(C142&lt;7),G112,F112))</f>
        <v>77.896</v>
      </c>
      <c r="H126" s="345">
        <f t="shared" si="41"/>
        <v>15280</v>
      </c>
      <c r="I126" s="345">
        <f t="shared" si="42"/>
        <v>1273</v>
      </c>
      <c r="J126" s="241">
        <f t="shared" si="43"/>
        <v>77.896</v>
      </c>
      <c r="K126" s="345">
        <f t="shared" si="44"/>
        <v>16553</v>
      </c>
      <c r="L126" s="241">
        <f t="shared" si="28"/>
        <v>2</v>
      </c>
      <c r="M126" s="328">
        <f t="shared" si="29"/>
        <v>71.904</v>
      </c>
      <c r="N126" s="330">
        <f t="shared" si="46"/>
        <v>15280</v>
      </c>
      <c r="O126" s="328">
        <f t="shared" si="31"/>
        <v>63.344</v>
      </c>
      <c r="P126" s="279">
        <f t="shared" si="47"/>
        <v>13461</v>
      </c>
      <c r="Q126" s="241" t="s">
        <v>394</v>
      </c>
      <c r="R126" s="341"/>
      <c r="S126" s="341"/>
      <c r="T126" s="341"/>
      <c r="U126" s="341"/>
      <c r="V126" s="241">
        <f t="shared" si="36"/>
        <v>16553</v>
      </c>
      <c r="W126" s="279"/>
      <c r="X126" s="241">
        <f t="shared" si="33"/>
        <v>12</v>
      </c>
      <c r="Y126" s="241">
        <f t="shared" si="37"/>
        <v>2550</v>
      </c>
      <c r="AA126" s="241">
        <f t="shared" si="39"/>
        <v>2</v>
      </c>
      <c r="AB126" s="241" t="str">
        <f>IF(AA126=3,SUM(ROUND(F126*10%,0),ROUND(V126*10%,0)),S104)</f>
        <v> </v>
      </c>
      <c r="AD126" s="241">
        <f>'it data'!$H$9</f>
        <v>0</v>
      </c>
      <c r="AI126" s="326">
        <f t="shared" si="48"/>
        <v>0</v>
      </c>
      <c r="AK126" s="326">
        <f t="shared" si="45"/>
        <v>0</v>
      </c>
    </row>
    <row r="127" spans="17:21" ht="15">
      <c r="Q127" s="345" t="s">
        <v>395</v>
      </c>
      <c r="R127" s="342"/>
      <c r="S127" s="342"/>
      <c r="T127" s="342"/>
      <c r="U127" s="342">
        <f>AL128</f>
        <v>0</v>
      </c>
    </row>
    <row r="128" spans="9:38" ht="15">
      <c r="I128" s="345">
        <f>IF(C136=2,IF(AND(C142=1),SUM(I119:I120),IF(AND(C142=2),SUM(I119:I121),IF(AND(C142=3),SUM(I119:I122),IF(AND(C142=4),SUM(I119:I123),IF(AND(C142=5),SUM(I119:I124),IF(AND(C142=6),SUM(I119:I125),SUM(I119:I126))))))),0)</f>
        <v>3717</v>
      </c>
      <c r="N128" s="330"/>
      <c r="Q128" s="326" t="s">
        <v>396</v>
      </c>
      <c r="R128" s="350"/>
      <c r="S128" s="350">
        <f>IF(M112=3,SUM(ROUND(R122*G112%,0)-ROUND(ROUND(R122*G112%,0)*10%,0)),0)</f>
        <v>0</v>
      </c>
      <c r="T128" s="350">
        <f>IF(M112=3,SUM(ROUND(R122*F112%,0)-ROUND(ROUND(R122*F112%,0)*10%,0)),0)</f>
        <v>0</v>
      </c>
      <c r="U128" s="350">
        <f>SUM(S128-T128)</f>
        <v>0</v>
      </c>
      <c r="AI128" s="326">
        <f>IF(M112=3,IF(AND(C142=1),SUM(AI119:AI120),IF(AND(C142=2),SUM(AI119:AI121),IF(AND(C142=3),SUM(AI119:AI122),IF(AND(C142=4),SUM(AI119:AI123),IF(AND(C142=5),SUM(AI119:AI124),IF(AND(C142=6),SUM(AI119:AI125),SUM(AI119:AI126))))))),0)</f>
        <v>0</v>
      </c>
      <c r="AK128" s="326">
        <f>IF(M112=3,IF(AND(C142=1),SUM(AK119:AK120),IF(AND(C142=2),SUM(AK119:AK121),IF(AND(C142=3),SUM(AK119:AK122),IF(AND(C142=4),SUM(AK119:AK123),IF(AND(C142=5),SUM(AK119:AK124),IF(AND(C142=6),SUM(AK119:AK125),SUM(AK119:AK126))))))),0)</f>
        <v>0</v>
      </c>
      <c r="AL128" s="241">
        <f>SUM(AI128-AK128)</f>
        <v>0</v>
      </c>
    </row>
    <row r="129" spans="17:31" ht="15">
      <c r="Q129" s="309" t="s">
        <v>397</v>
      </c>
      <c r="R129" s="348"/>
      <c r="S129" s="348">
        <f>IF(M112=3,SUM(ROUND(R123*G112%,0)-ROUND(ROUND(R123*G112%,0)*10%,0)),0)</f>
        <v>0</v>
      </c>
      <c r="T129" s="348">
        <f>IF(M112=3,SUM(ROUND(R123*F112%,0)-ROUND(ROUND(R123*F112%,0)*10%,0)),0)</f>
        <v>0</v>
      </c>
      <c r="U129" s="350">
        <f>SUM(S129-T129)</f>
        <v>0</v>
      </c>
      <c r="Y129" s="342" t="s">
        <v>398</v>
      </c>
      <c r="Z129" s="342"/>
      <c r="AA129" s="342" t="s">
        <v>337</v>
      </c>
      <c r="AB129" s="342" t="s">
        <v>384</v>
      </c>
      <c r="AC129" s="342" t="s">
        <v>385</v>
      </c>
      <c r="AD129" s="342" t="s">
        <v>386</v>
      </c>
      <c r="AE129" s="342" t="s">
        <v>399</v>
      </c>
    </row>
    <row r="130" spans="5:31" ht="15">
      <c r="E130" s="241" t="s">
        <v>400</v>
      </c>
      <c r="Q130" s="352" t="s">
        <v>401</v>
      </c>
      <c r="R130" s="325"/>
      <c r="S130" s="325">
        <f>IF(M112=3,SUM(ROUND(R124*G112%,0)-ROUND(ROUND(R124*G112%,0)*10%,0)),0)</f>
        <v>0</v>
      </c>
      <c r="T130" s="325">
        <f>IF(M112=3,SUM(ROUND(R124*F112%,0)-ROUND(ROUND(R124*F112%,0)*10%,0)),0)</f>
        <v>0</v>
      </c>
      <c r="U130" s="350">
        <f>SUM(S130-T130)</f>
        <v>0</v>
      </c>
      <c r="Y130" s="976" t="s">
        <v>395</v>
      </c>
      <c r="Z130" s="976"/>
      <c r="AA130" s="342"/>
      <c r="AB130" s="342"/>
      <c r="AC130" s="342"/>
      <c r="AD130" s="342"/>
      <c r="AE130" s="342">
        <f>SUM(W121-Z121)</f>
        <v>0</v>
      </c>
    </row>
    <row r="131" spans="5:31" ht="15">
      <c r="E131" s="241" t="s">
        <v>402</v>
      </c>
      <c r="Q131" s="353" t="s">
        <v>403</v>
      </c>
      <c r="R131" s="354"/>
      <c r="S131" s="354">
        <f>SUM(S128:S130)</f>
        <v>0</v>
      </c>
      <c r="T131" s="354">
        <f>SUM(T128:T130)</f>
        <v>0</v>
      </c>
      <c r="U131" s="354">
        <f>SUM(U127:U130)</f>
        <v>0</v>
      </c>
      <c r="Y131" s="342" t="s">
        <v>396</v>
      </c>
      <c r="Z131" s="342"/>
      <c r="AA131" s="342"/>
      <c r="AB131" s="342">
        <f>IF(M112=3,SUM(ROUND(R115*F112%,0)-ROUND(ROUND(R115*F112%,0)*10%,0)),0)</f>
        <v>0</v>
      </c>
      <c r="AC131" s="342">
        <f>IF(M112=3,SUM(ROUND(R115*E112%,0)-ROUND(ROUND(R115*E112%,0)*10%,0)),0)</f>
        <v>0</v>
      </c>
      <c r="AD131" s="342"/>
      <c r="AE131" s="342">
        <f>SUM(AB131-AC131)</f>
        <v>0</v>
      </c>
    </row>
    <row r="132" spans="3:31" ht="15">
      <c r="C132" s="241">
        <v>2</v>
      </c>
      <c r="Y132" s="342" t="s">
        <v>397</v>
      </c>
      <c r="Z132" s="342"/>
      <c r="AA132" s="342"/>
      <c r="AB132" s="342">
        <f>IF(M112=3,SUM(ROUND(R116*F112%,0)-ROUND(ROUND(R116*F112%,0)*10%,0)),0)</f>
        <v>0</v>
      </c>
      <c r="AC132" s="342">
        <f>IF(M112=3,SUM(ROUND(R116*E112%,0)-ROUND(ROUND(R116*E112%,0)*10%,0)),0)</f>
        <v>0</v>
      </c>
      <c r="AD132" s="342"/>
      <c r="AE132" s="342">
        <f>SUM(AB132-AC132)</f>
        <v>0</v>
      </c>
    </row>
    <row r="133" spans="1:31" ht="15">
      <c r="A133" s="241" t="str">
        <f>"Actual D.A present as on "&amp;(E91)&amp;""</f>
        <v>Actual D.A present as on Jan-2014</v>
      </c>
      <c r="S133" s="977" t="s">
        <v>404</v>
      </c>
      <c r="T133" s="977"/>
      <c r="U133" s="241">
        <f>SUM(U131+U125)</f>
        <v>3717</v>
      </c>
      <c r="Y133" s="342" t="s">
        <v>401</v>
      </c>
      <c r="Z133" s="342"/>
      <c r="AA133" s="342"/>
      <c r="AB133" s="342">
        <f>IF(M112=3,SUM(ROUND(R117*F112%,0)-ROUND(ROUND(R117*F112%,0)*10%,0)),0)</f>
        <v>0</v>
      </c>
      <c r="AC133" s="342">
        <f>IF(M112=3,SUM(ROUND(R117*E112%,0)-ROUND(ROUND(R117*E112%,0)*10%,0)),0)</f>
        <v>0</v>
      </c>
      <c r="AD133" s="342"/>
      <c r="AE133" s="342">
        <f>SUM(AB133-AC133)</f>
        <v>0</v>
      </c>
    </row>
    <row r="134" spans="25:31" ht="12.75" customHeight="1">
      <c r="Y134" s="355" t="s">
        <v>403</v>
      </c>
      <c r="Z134" s="355"/>
      <c r="AA134" s="355"/>
      <c r="AB134" s="355">
        <f>SUM(AB131:AB133)</f>
        <v>0</v>
      </c>
      <c r="AC134" s="355">
        <f>SUM(AC131:AC133)</f>
        <v>0</v>
      </c>
      <c r="AD134" s="355"/>
      <c r="AE134" s="355">
        <f>SUM(AE130:AE133)</f>
        <v>0</v>
      </c>
    </row>
    <row r="135" spans="3:21" ht="15">
      <c r="C135" s="309"/>
      <c r="T135" s="241" t="s">
        <v>405</v>
      </c>
      <c r="U135" s="241">
        <f>U133-X110</f>
        <v>0</v>
      </c>
    </row>
    <row r="136" spans="1:31" ht="15">
      <c r="A136" s="241" t="s">
        <v>300</v>
      </c>
      <c r="C136" s="356">
        <v>2</v>
      </c>
      <c r="AB136" s="977" t="s">
        <v>404</v>
      </c>
      <c r="AC136" s="977"/>
      <c r="AE136" s="241">
        <f>SUM(U118+AE134)</f>
        <v>7080</v>
      </c>
    </row>
    <row r="137" spans="1:18" ht="15">
      <c r="A137" s="241" t="str">
        <f>"Actual D.A present as on "&amp;(E97)&amp;""</f>
        <v>Actual D.A present as on Jul-2014</v>
      </c>
      <c r="E137" s="314">
        <f>C91</f>
        <v>41670</v>
      </c>
      <c r="F137" s="241" t="str">
        <f>TEXT(E137,"MMM-YYYY")</f>
        <v>Jan-2014</v>
      </c>
      <c r="H137" s="241" t="s">
        <v>332</v>
      </c>
      <c r="L137" s="241" t="s">
        <v>333</v>
      </c>
      <c r="R137" s="241" t="s">
        <v>406</v>
      </c>
    </row>
    <row r="138" spans="29:31" ht="11.25" customHeight="1">
      <c r="AC138" s="241" t="s">
        <v>405</v>
      </c>
      <c r="AE138" s="241">
        <f>AE136-X108</f>
        <v>0</v>
      </c>
    </row>
    <row r="139" ht="15">
      <c r="C139" s="309"/>
    </row>
    <row r="140" spans="1:21" ht="15">
      <c r="A140" s="241" t="s">
        <v>407</v>
      </c>
      <c r="C140" s="356">
        <v>3</v>
      </c>
      <c r="E140" s="327">
        <f>INDEX(C92:C97,C140,0)</f>
        <v>41759</v>
      </c>
      <c r="F140" s="241" t="str">
        <f>TEXT(E140,"MMM-YYYY")</f>
        <v>Apr-2014</v>
      </c>
      <c r="H140" s="241">
        <f>INDEX(C90:C104,Q14,0)</f>
        <v>0</v>
      </c>
      <c r="I140" s="241" t="str">
        <f>TEXT(H140,"MMM,YY")</f>
        <v>Jan,00</v>
      </c>
      <c r="J140" s="241">
        <f>IF(H140&gt;E140,0,O76)</f>
        <v>0</v>
      </c>
      <c r="L140" s="357">
        <f>IF(R16=15,0,INDEX(C91:C104,R16,0))</f>
        <v>42004</v>
      </c>
      <c r="M140" s="241" t="str">
        <f>TEXT(L140,"MMM,YY")</f>
        <v>Dec,14</v>
      </c>
      <c r="N140" s="241">
        <f>IF(L140&lt;=E140,O81,0)</f>
        <v>0</v>
      </c>
      <c r="S140" s="327">
        <f>INDEX(C91:C104,AC106,0)</f>
        <v>41820</v>
      </c>
      <c r="T140" s="241" t="str">
        <f>TEXT(S140,"MMM,YY")</f>
        <v>Jun,14</v>
      </c>
      <c r="U140" s="241">
        <f>IF(S140&lt;=E140,AB109,0)</f>
        <v>0</v>
      </c>
    </row>
    <row r="141" spans="4:6" ht="15">
      <c r="D141" s="327">
        <f>INDEX(E141,1,0)</f>
        <v>41851</v>
      </c>
      <c r="E141" s="358">
        <f>C97</f>
        <v>41851</v>
      </c>
      <c r="F141" s="241" t="str">
        <f>TEXT(E141,"MMM-YYYY")</f>
        <v>Jul-2014</v>
      </c>
    </row>
    <row r="142" spans="1:21" ht="15">
      <c r="A142" s="241" t="s">
        <v>408</v>
      </c>
      <c r="C142" s="356">
        <v>2</v>
      </c>
      <c r="E142" s="327">
        <f>INDEX(C98:C104,C142,0)</f>
        <v>41912</v>
      </c>
      <c r="F142" s="241" t="str">
        <f>TEXT(E142,"MMM-YYYY")</f>
        <v>Sep-2014</v>
      </c>
      <c r="J142" s="241">
        <f>IF(AND(H140&gt;=F147,H140&lt;=E142),O77,0)</f>
        <v>0</v>
      </c>
      <c r="N142" s="241">
        <f>IF(AND(L140&gt;=F147,L140&lt;=E142),O82,0)</f>
        <v>0</v>
      </c>
      <c r="U142" s="241">
        <f>IF(AND(S140&gt;=F147,S140&lt;=E142),AB109,0)</f>
        <v>0</v>
      </c>
    </row>
    <row r="143" ht="16.5" customHeight="1">
      <c r="C143" s="309"/>
    </row>
    <row r="144" ht="20.25" customHeight="1"/>
    <row r="145" spans="1:3" ht="15">
      <c r="A145" s="241" t="s">
        <v>283</v>
      </c>
      <c r="C145" s="241">
        <f>Q34</f>
        <v>2</v>
      </c>
    </row>
    <row r="147" spans="3:6" ht="15">
      <c r="C147" s="241">
        <v>7</v>
      </c>
      <c r="E147" s="241" t="str">
        <f>TEXT(F147,"mmm,yy")</f>
        <v>Jul,14</v>
      </c>
      <c r="F147" s="327">
        <f>INDEX(C91:C104,C147,0)</f>
        <v>41851</v>
      </c>
    </row>
    <row r="148" ht="15">
      <c r="F148" s="358"/>
    </row>
    <row r="149" ht="15">
      <c r="D149" s="320"/>
    </row>
    <row r="155" spans="16:19" ht="15">
      <c r="P155" s="241">
        <f>Q18</f>
        <v>2</v>
      </c>
      <c r="Q155" s="241" t="str">
        <f>VLOOKUP(P155,P156:Q157,2)</f>
        <v>Rented House</v>
      </c>
      <c r="S155" s="241" t="str">
        <f>VLOOKUP(P155,P156:S157,4,0)</f>
        <v>To get HRA exemption enter Rent@PM 6300 </v>
      </c>
    </row>
    <row r="156" spans="9:25" ht="15">
      <c r="I156" s="252"/>
      <c r="J156" s="252" t="s">
        <v>149</v>
      </c>
      <c r="K156" s="252">
        <f>'ITAnnexure-I'!F24</f>
        <v>30056</v>
      </c>
      <c r="L156" s="252"/>
      <c r="M156" s="252"/>
      <c r="N156" s="252"/>
      <c r="O156" s="252"/>
      <c r="P156" s="241">
        <v>1</v>
      </c>
      <c r="Q156" s="241" t="s">
        <v>409</v>
      </c>
      <c r="S156" s="241" t="s">
        <v>410</v>
      </c>
      <c r="V156" s="252"/>
      <c r="W156" s="252"/>
      <c r="Y156" s="252"/>
    </row>
    <row r="157" spans="3:25" ht="15">
      <c r="C157" s="241">
        <f>'it data'!H5</f>
        <v>2014</v>
      </c>
      <c r="D157" s="241">
        <f>SUM(C157,1)</f>
        <v>2015</v>
      </c>
      <c r="E157" s="241" t="str">
        <f>" "&amp;(C157)&amp;-(D157)&amp;""</f>
        <v> 2014-2015</v>
      </c>
      <c r="I157" s="252"/>
      <c r="J157" s="359" t="s">
        <v>411</v>
      </c>
      <c r="K157" s="252">
        <f>'ITAnnexure-I'!C24</f>
        <v>250440</v>
      </c>
      <c r="L157" s="252"/>
      <c r="M157" s="252"/>
      <c r="N157" s="252"/>
      <c r="O157" s="252"/>
      <c r="P157" s="241">
        <v>2</v>
      </c>
      <c r="Q157" s="241" t="s">
        <v>227</v>
      </c>
      <c r="S157" s="241" t="str">
        <f>"To get HRA exemption enter Rent@PM "&amp;(I164)&amp;" "</f>
        <v>To get HRA exemption enter Rent@PM 6300 </v>
      </c>
      <c r="V157" s="252"/>
      <c r="W157" s="252"/>
      <c r="Y157" s="252"/>
    </row>
    <row r="158" spans="3:25" ht="15">
      <c r="C158" s="241">
        <f>D157</f>
        <v>2015</v>
      </c>
      <c r="D158" s="241">
        <f>SUM(C158,1)</f>
        <v>2016</v>
      </c>
      <c r="E158" s="241" t="str">
        <f>" "&amp;(C158)&amp;-(D158)&amp;""</f>
        <v> 2015-2016</v>
      </c>
      <c r="I158" s="252"/>
      <c r="J158" s="360" t="s">
        <v>412</v>
      </c>
      <c r="K158" s="252">
        <f>'ITAnnexure-I'!E24</f>
        <v>193668</v>
      </c>
      <c r="L158" s="252"/>
      <c r="M158" s="252"/>
      <c r="N158" s="252"/>
      <c r="O158" s="252"/>
      <c r="P158" s="252"/>
      <c r="Q158" s="252"/>
      <c r="R158" s="252"/>
      <c r="S158" s="252"/>
      <c r="T158" s="252"/>
      <c r="U158" s="252"/>
      <c r="V158" s="252"/>
      <c r="W158" s="252"/>
      <c r="Y158" s="252"/>
    </row>
    <row r="159" spans="9:25" ht="15">
      <c r="I159" s="252"/>
      <c r="J159" s="361"/>
      <c r="K159" s="252">
        <f>SUM(K157:K158)</f>
        <v>444108</v>
      </c>
      <c r="L159" s="252"/>
      <c r="M159" s="252"/>
      <c r="N159" s="252"/>
      <c r="O159" s="252"/>
      <c r="P159" s="252"/>
      <c r="Q159" s="252"/>
      <c r="R159" s="252"/>
      <c r="S159" s="252"/>
      <c r="T159" s="252"/>
      <c r="U159" s="252"/>
      <c r="V159" s="252"/>
      <c r="W159" s="252"/>
      <c r="Y159" s="252"/>
    </row>
    <row r="160" spans="9:25" ht="15">
      <c r="I160" s="252"/>
      <c r="J160" s="252"/>
      <c r="K160" s="252">
        <f>ROUND(K159*10%,0.1)</f>
        <v>44411</v>
      </c>
      <c r="L160" s="252"/>
      <c r="M160" s="252">
        <f>ROUND(K159*40%,0.1)</f>
        <v>177643</v>
      </c>
      <c r="N160" s="252"/>
      <c r="O160" s="252"/>
      <c r="P160" s="252"/>
      <c r="Q160" s="252">
        <f>IF(K162&lt;=0,0,IF(P155=1,0,K162))</f>
        <v>31189</v>
      </c>
      <c r="R160" s="252"/>
      <c r="S160" s="252"/>
      <c r="T160" s="252"/>
      <c r="U160" s="252"/>
      <c r="V160" s="252"/>
      <c r="W160" s="252"/>
      <c r="Y160" s="252"/>
    </row>
    <row r="161" spans="9:25" ht="15">
      <c r="I161" s="252"/>
      <c r="J161" s="252"/>
      <c r="K161" s="252"/>
      <c r="L161" s="252"/>
      <c r="M161" s="252"/>
      <c r="N161" s="252"/>
      <c r="O161" s="252"/>
      <c r="P161" s="252"/>
      <c r="Q161" s="252"/>
      <c r="R161" s="252"/>
      <c r="S161" s="252"/>
      <c r="T161" s="252"/>
      <c r="U161" s="252"/>
      <c r="V161" s="252"/>
      <c r="W161" s="252"/>
      <c r="Y161" s="252"/>
    </row>
    <row r="162" spans="10:11" ht="15">
      <c r="J162" s="241">
        <f>IF(P155=2,IF('it data'!E11="",ROUND((K156+K160)/12,-2)+100,'it data'!E11),0)</f>
        <v>6300</v>
      </c>
      <c r="K162" s="241">
        <f>ROUND(J162*12-K160,0.1)</f>
        <v>31189</v>
      </c>
    </row>
    <row r="163" ht="15">
      <c r="Q163" s="320">
        <f>IF(P155=1,'it data'!E11,0)</f>
        <v>0</v>
      </c>
    </row>
    <row r="164" spans="9:12" ht="15">
      <c r="I164" s="241">
        <f>ROUND((K156+K160)/12,-2)+100</f>
        <v>6300</v>
      </c>
      <c r="J164" s="241">
        <f>IF('it data'!E11="",ROUND((K156+K160)/12,-2)+100,'it data'!E11)</f>
        <v>6300</v>
      </c>
      <c r="K164" s="241">
        <f>SUM(J164*12)</f>
        <v>75600</v>
      </c>
      <c r="L164" s="241" t="str">
        <f>'RUPEES CONVERSATION'!B34</f>
        <v>(Seventy five Thousand Six Hundred rupees only)</v>
      </c>
    </row>
    <row r="165" spans="8:13" ht="15">
      <c r="H165" s="362"/>
      <c r="I165" s="362"/>
      <c r="J165" s="362"/>
      <c r="K165" s="362"/>
      <c r="L165" s="362"/>
      <c r="M165" s="362"/>
    </row>
    <row r="166" spans="8:13" ht="15">
      <c r="H166" s="978" t="s">
        <v>413</v>
      </c>
      <c r="I166" s="978"/>
      <c r="J166" s="978"/>
      <c r="K166" s="978"/>
      <c r="L166" s="978"/>
      <c r="M166" s="978"/>
    </row>
    <row r="168" spans="8:11" ht="15">
      <c r="H168" s="241" t="s">
        <v>414</v>
      </c>
      <c r="I168" s="241" t="str">
        <f>IF(Q18=1,"","(Rent: @ ")</f>
        <v>(Rent: @ </v>
      </c>
      <c r="J168" s="241">
        <f>IF(Q18=1,"",J162)</f>
        <v>6300</v>
      </c>
      <c r="K168" s="241" t="str">
        <f>IF(Q18=1,"","/-PM)")</f>
        <v>/-PM)</v>
      </c>
    </row>
    <row r="169" spans="3:8" ht="15">
      <c r="C169" s="358">
        <f>C93</f>
        <v>41729</v>
      </c>
      <c r="D169" s="241" t="str">
        <f>TEXT(C169,"mmm,yy")</f>
        <v>Mar,14</v>
      </c>
      <c r="H169" s="241" t="str">
        <f>CONCATENATE(H168,I168,J168,K168)</f>
        <v>Actual House Rent paid  minus 10% of  Salary(Rent: @ 6300/-PM)</v>
      </c>
    </row>
    <row r="170" spans="3:4" ht="15">
      <c r="C170" s="358">
        <f>C104</f>
        <v>42063</v>
      </c>
      <c r="D170" s="241" t="str">
        <f>TEXT(C170,"mmm,yy")</f>
        <v>Feb,15</v>
      </c>
    </row>
    <row r="171" ht="15">
      <c r="G171" s="241" t="str">
        <f>IF(Q17=1,G174,G178)</f>
        <v>Up to Rs. 250000</v>
      </c>
    </row>
    <row r="172" spans="3:7" ht="15">
      <c r="C172" s="358">
        <f>C101</f>
        <v>41973</v>
      </c>
      <c r="D172" s="241" t="str">
        <f>TEXT(C172,"mmm-yy")</f>
        <v>Nov-14</v>
      </c>
      <c r="E172" s="241">
        <f>SUM('it data'!E25:E33)</f>
        <v>0</v>
      </c>
      <c r="G172" s="241" t="str">
        <f>CONCATENATE(IF(Q17=1,G175,G179)," ",L178)</f>
        <v>Rs.250001 To 500000 (@ 10%) Tax rebate  -Rs.2000/-</v>
      </c>
    </row>
    <row r="173" spans="3:5" ht="15">
      <c r="C173" s="358">
        <f>C102</f>
        <v>42004</v>
      </c>
      <c r="D173" s="241" t="str">
        <f>TEXT(C173,"mmm-yy")</f>
        <v>Dec-14</v>
      </c>
      <c r="E173" s="241">
        <f>'it data'!E34</f>
        <v>0</v>
      </c>
    </row>
    <row r="174" spans="3:7" ht="15">
      <c r="C174" s="358">
        <f>C103</f>
        <v>42035</v>
      </c>
      <c r="D174" s="241" t="str">
        <f>TEXT(C174,"mmm-yy")</f>
        <v>Jan-15</v>
      </c>
      <c r="E174" s="241">
        <f>'it data'!E35</f>
        <v>0</v>
      </c>
      <c r="G174" s="241" t="str">
        <f>"Up to Rs. "&amp;(Sheet2!B32)&amp;""</f>
        <v>Up to Rs. 250000</v>
      </c>
    </row>
    <row r="175" spans="3:7" ht="15">
      <c r="C175" s="358">
        <f>C104</f>
        <v>42063</v>
      </c>
      <c r="D175" s="241" t="str">
        <f>TEXT(C175,"mmm-yy")</f>
        <v>Feb-15</v>
      </c>
      <c r="E175" s="241">
        <f>'it data'!E36</f>
        <v>0</v>
      </c>
      <c r="G175" s="241" t="str">
        <f>"Rs."&amp;(Sheet2!B33)&amp;" To "&amp;(Sheet2!C33)&amp;" (@ "&amp;(Sheet2!D33*100)&amp;"%)"</f>
        <v>Rs.250001 To 500000 (@ 10%)</v>
      </c>
    </row>
    <row r="176" spans="3:5" ht="15">
      <c r="C176" s="358"/>
      <c r="E176" s="241">
        <f>SUM(E172:E175)</f>
        <v>0</v>
      </c>
    </row>
    <row r="177" ht="15">
      <c r="C177" s="358"/>
    </row>
    <row r="178" spans="3:12" ht="15">
      <c r="C178" s="358"/>
      <c r="G178" s="241" t="str">
        <f>"Up to Rs. "&amp;(Sheet2!F32)&amp;""</f>
        <v>Up to Rs. 250000</v>
      </c>
      <c r="L178" s="309" t="str">
        <f>IF(L182=0,"","Tax rebate  -Rs.2000/-")</f>
        <v>Tax rebate  -Rs.2000/-</v>
      </c>
    </row>
    <row r="179" spans="2:15" ht="15">
      <c r="B179" s="363" t="s">
        <v>415</v>
      </c>
      <c r="G179" s="241" t="str">
        <f>"Rs."&amp;(Sheet2!F33)&amp;" To "&amp;(Sheet2!G33)&amp;"    (@ "&amp;(Sheet2!H33*100)&amp;"%)"</f>
        <v>Rs.250001 To 500000    (@ 10%)</v>
      </c>
      <c r="O179" s="320">
        <f>L187</f>
        <v>23283</v>
      </c>
    </row>
    <row r="180" ht="15">
      <c r="O180" s="241">
        <f>L182</f>
        <v>2000</v>
      </c>
    </row>
    <row r="181" spans="7:15" ht="15">
      <c r="G181" s="241" t="str">
        <f>"Rs."&amp;(Sheet2!B34)&amp;" To "&amp;(Sheet2!C34)&amp;"    (@ "&amp;(Sheet2!D34*100)&amp;"%)"</f>
        <v>Rs.500001 To 1000000    (@ 20%)</v>
      </c>
      <c r="O181" s="320">
        <f>SUM(O179-O180)</f>
        <v>21283</v>
      </c>
    </row>
    <row r="182" spans="7:15" ht="15">
      <c r="G182" s="241" t="str">
        <f>"Above Rs."&amp;(Sheet2!C34)&amp;"   (@ "&amp;(Sheet2!D35*100)&amp;"%)"</f>
        <v>Above Rs.1000000   (@ 30%)</v>
      </c>
      <c r="L182" s="241">
        <f>IF('it data'!H5&lt;2013,0,IF(F187&gt;500000,0,IF(F187&lt;=I188,0,2000)))</f>
        <v>2000</v>
      </c>
      <c r="O182" s="241">
        <f>IF(O181&lt;=0,0,O181)</f>
        <v>21283</v>
      </c>
    </row>
    <row r="184" spans="7:12" ht="15">
      <c r="G184" s="362" t="str">
        <f>"Education Cess @ "&amp;(Sheet2!C41*100)&amp;"%"</f>
        <v>Education Cess @ 1%</v>
      </c>
      <c r="H184" s="362"/>
      <c r="I184" s="362"/>
      <c r="J184" s="241">
        <f>ROUND(L184*Sheet2!C41,0)</f>
        <v>226</v>
      </c>
      <c r="K184" s="362"/>
      <c r="L184" s="364">
        <f>J192</f>
        <v>22605</v>
      </c>
    </row>
    <row r="185" spans="7:12" ht="15">
      <c r="G185" s="362" t="str">
        <f>"Secondary &amp; Higher Education Cess @ "&amp;(Sheet2!C42*100)&amp;"%"</f>
        <v>Secondary &amp; Higher Education Cess @ 2%</v>
      </c>
      <c r="H185" s="362"/>
      <c r="I185" s="362"/>
      <c r="J185" s="241">
        <f>ROUND(L184*Sheet2!C42,0)</f>
        <v>452</v>
      </c>
      <c r="K185" s="362"/>
      <c r="L185" s="362">
        <f>J184</f>
        <v>226</v>
      </c>
    </row>
    <row r="186" ht="15">
      <c r="L186" s="241">
        <f>J185</f>
        <v>452</v>
      </c>
    </row>
    <row r="187" spans="3:12" ht="15">
      <c r="C187" s="305"/>
      <c r="D187" s="305">
        <f>Q17</f>
        <v>1</v>
      </c>
      <c r="E187" s="305"/>
      <c r="F187" s="365">
        <f>'ITAnnexure-II'!M49</f>
        <v>496050</v>
      </c>
      <c r="G187" s="365"/>
      <c r="H187" s="365"/>
      <c r="I187" s="305"/>
      <c r="J187" s="305"/>
      <c r="L187" s="320">
        <f>SUM(L184:L186)</f>
        <v>23283</v>
      </c>
    </row>
    <row r="188" spans="3:10" ht="15">
      <c r="C188" s="305"/>
      <c r="D188" s="305"/>
      <c r="E188" s="305"/>
      <c r="F188" s="305"/>
      <c r="G188" s="366">
        <f>Sheet2!B32</f>
        <v>250000</v>
      </c>
      <c r="H188" s="366">
        <f>Sheet2!F32</f>
        <v>250000</v>
      </c>
      <c r="I188" s="305">
        <f>IF(Q17=1,G188,H188)</f>
        <v>250000</v>
      </c>
      <c r="J188" s="367">
        <f>IF(AND(F187&gt;=I188),F187-I188,0)</f>
        <v>246050</v>
      </c>
    </row>
    <row r="189" spans="3:11" ht="15">
      <c r="C189" s="305" t="str">
        <f>G172</f>
        <v>Rs.250001 To 500000 (@ 10%) Tax rebate  -Rs.2000/-</v>
      </c>
      <c r="D189" s="305"/>
      <c r="E189" s="305"/>
      <c r="F189" s="305"/>
      <c r="G189" s="305">
        <f>IF(AND(F187&gt;Sheet2!C33),SUM(Sheet2!C33-Sheet2!B32),IF(AND(F187&gt;Sheet2!B32,F187&lt;=Sheet2!C33),F187-Sheet2!B32,0))</f>
        <v>246050</v>
      </c>
      <c r="H189" s="305">
        <f>IF(AND(F187&gt;Sheet2!G33),SUM(Sheet2!G33-Sheet2!F32),IF(AND(F187&gt;Sheet2!F32,F187&lt;=Sheet2!G33),F187-Sheet2!F32,0))</f>
        <v>246050</v>
      </c>
      <c r="I189" s="305">
        <f>IF(D187=1,G189,H189)</f>
        <v>246050</v>
      </c>
      <c r="J189" s="367">
        <f>IF(SUM(ROUND(I189*Sheet2!D33,0.1)-(L182))&lt;=0,0,SUM(ROUND(I189*Sheet2!D33,0.1)-(L182)))</f>
        <v>22605</v>
      </c>
      <c r="K189" s="241" t="s">
        <v>416</v>
      </c>
    </row>
    <row r="190" spans="3:10" ht="15">
      <c r="C190" s="305" t="str">
        <f>G181</f>
        <v>Rs.500001 To 1000000    (@ 20%)</v>
      </c>
      <c r="D190" s="305"/>
      <c r="E190" s="305"/>
      <c r="F190" s="305"/>
      <c r="G190" s="305">
        <f>IF(AND(F187&gt;Sheet2!C34),SUM(Sheet2!C34-Sheet2!C33),IF(AND(F187&gt;Sheet2!C33,F187&lt;=Sheet2!C34),F187-Sheet2!C33,0))</f>
        <v>0</v>
      </c>
      <c r="H190" s="305">
        <f>G190</f>
        <v>0</v>
      </c>
      <c r="I190" s="305">
        <f>IF(D188=1,G190,H190)</f>
        <v>0</v>
      </c>
      <c r="J190" s="367">
        <f>ROUND(I190*Sheet2!D34,0.1)</f>
        <v>0</v>
      </c>
    </row>
    <row r="191" spans="3:10" ht="15">
      <c r="C191" s="305" t="str">
        <f>G182</f>
        <v>Above Rs.1000000   (@ 30%)</v>
      </c>
      <c r="D191" s="305"/>
      <c r="E191" s="305"/>
      <c r="F191" s="305"/>
      <c r="G191" s="305">
        <f>IF(AND(F187&gt;Sheet2!C34),F187-Sheet2!C34,0)</f>
        <v>0</v>
      </c>
      <c r="H191" s="305">
        <f>G191</f>
        <v>0</v>
      </c>
      <c r="I191" s="305">
        <f>IF(D189=1,G191,H191)</f>
        <v>0</v>
      </c>
      <c r="J191" s="367">
        <f>ROUND(I191*Sheet2!D35,0.1)</f>
        <v>0</v>
      </c>
    </row>
    <row r="192" spans="3:10" ht="15">
      <c r="C192" s="305"/>
      <c r="D192" s="305"/>
      <c r="E192" s="305"/>
      <c r="F192" s="305"/>
      <c r="G192" s="305">
        <f>SUM(G188:G191)</f>
        <v>496050</v>
      </c>
      <c r="H192" s="305">
        <f>SUM(H188:H191)</f>
        <v>496050</v>
      </c>
      <c r="I192" s="305">
        <f>SUM(I188:I191)</f>
        <v>496050</v>
      </c>
      <c r="J192" s="367">
        <f>SUM(J189:J191)</f>
        <v>22605</v>
      </c>
    </row>
    <row r="195" ht="15">
      <c r="J195" s="241">
        <f>IF(SUM(('form 16 page 2'!M24-'form 16 page 2'!M25),-'form 16 page 2'!M27)=0,0,SUM(('form 16 page 2'!M24-'form 16 page 2'!M25),-'form 16 page 2'!M27))</f>
        <v>23283</v>
      </c>
    </row>
    <row r="205" ht="15">
      <c r="L205" s="241">
        <f>C62</f>
        <v>20680</v>
      </c>
    </row>
    <row r="206" spans="7:16" ht="15">
      <c r="G206" s="241" t="s">
        <v>329</v>
      </c>
      <c r="J206" s="241">
        <f>Q13</f>
        <v>12</v>
      </c>
      <c r="M206" s="241" t="s">
        <v>329</v>
      </c>
      <c r="N206" s="241" t="s">
        <v>329</v>
      </c>
      <c r="O206" s="241" t="s">
        <v>332</v>
      </c>
      <c r="P206" s="241" t="s">
        <v>333</v>
      </c>
    </row>
    <row r="207" spans="7:17" ht="15">
      <c r="G207" s="241" t="s">
        <v>329</v>
      </c>
      <c r="J207" s="241">
        <f>R13</f>
        <v>1</v>
      </c>
      <c r="M207" s="241">
        <f>IF(J206&gt;1,SMALL(AC9:AC90,COUNTIF(AC9:AC90,"&lt;"&amp;L205+1)+1),L205)</f>
        <v>21250</v>
      </c>
      <c r="N207" s="241">
        <f>IF(J207&gt;1,SMALL(AC9:AC90,COUNTIF(AC9:AC90,"&lt;"&amp;M207+1)+1),M207)</f>
        <v>21250</v>
      </c>
      <c r="O207" s="241">
        <f>IF(J208&gt;1,SMALL(AC9:AC90,COUNTIF(AC9:AC90,"&lt;"&amp;N207+1)+1),N207)</f>
        <v>21250</v>
      </c>
      <c r="P207" s="241">
        <f>IF(K209&gt;1,IF(K209=2,SMALL(AC9:AC90,COUNTIF(AC9:AC90,"&lt;"&amp;O207+1)+1),SMALL(AC9:AC90,COUNTIF(AC9:AC90,"&lt;"&amp;O207+1)+2)),O207)</f>
        <v>21250</v>
      </c>
      <c r="Q207" s="241">
        <f>MAX(M207:P207)</f>
        <v>21250</v>
      </c>
    </row>
    <row r="208" spans="6:10" ht="16.5" customHeight="1">
      <c r="F208" s="241">
        <v>2</v>
      </c>
      <c r="G208" s="241" t="s">
        <v>417</v>
      </c>
      <c r="J208" s="241">
        <f>Q14</f>
        <v>1</v>
      </c>
    </row>
    <row r="209" spans="6:11" ht="15">
      <c r="F209" s="241">
        <v>2</v>
      </c>
      <c r="G209" s="241" t="s">
        <v>333</v>
      </c>
      <c r="J209" s="241">
        <f>R16</f>
        <v>12</v>
      </c>
      <c r="K209" s="241">
        <f>Q15</f>
        <v>1</v>
      </c>
    </row>
    <row r="210" spans="6:7" ht="15">
      <c r="F210" s="241">
        <v>7</v>
      </c>
      <c r="G210" s="241" t="s">
        <v>418</v>
      </c>
    </row>
    <row r="211" spans="6:7" ht="15">
      <c r="F211" s="241">
        <v>7</v>
      </c>
      <c r="G211" s="241" t="s">
        <v>419</v>
      </c>
    </row>
    <row r="213" spans="4:5" ht="15">
      <c r="D213" s="241" t="s">
        <v>420</v>
      </c>
      <c r="E213" s="241">
        <f>$Q$15</f>
        <v>1</v>
      </c>
    </row>
    <row r="215" spans="3:6" ht="15">
      <c r="C215" s="241">
        <f aca="true" t="shared" si="49" ref="C215:C245">$E$213</f>
        <v>1</v>
      </c>
      <c r="D215" s="241">
        <f>IF(C215=1,"",L1)</f>
      </c>
      <c r="E215" s="241">
        <f>IF(C215=1,"",E91)</f>
      </c>
      <c r="F215" s="241">
        <f>IF(NOT(C215=2),"",E91)</f>
      </c>
    </row>
    <row r="216" spans="3:6" ht="15">
      <c r="C216" s="241">
        <f t="shared" si="49"/>
        <v>1</v>
      </c>
      <c r="D216" s="241">
        <f>IF(C216=1,"",L2)</f>
      </c>
      <c r="E216" s="241">
        <f>IF(C216=1,"",E92)</f>
      </c>
      <c r="F216" s="241">
        <f aca="true" t="shared" si="50" ref="F216:F227">IF(NOT(C216=2),"",E92)</f>
      </c>
    </row>
    <row r="217" spans="3:6" ht="15">
      <c r="C217" s="241">
        <f t="shared" si="49"/>
        <v>1</v>
      </c>
      <c r="D217" s="241">
        <f aca="true" t="shared" si="51" ref="D217:D245">IF(C217=1,"",L3)</f>
      </c>
      <c r="E217" s="241">
        <f aca="true" t="shared" si="52" ref="E217:E228">IF(C217=1,"",E93)</f>
      </c>
      <c r="F217" s="241">
        <f t="shared" si="50"/>
      </c>
    </row>
    <row r="218" spans="3:6" ht="15">
      <c r="C218" s="241">
        <f t="shared" si="49"/>
        <v>1</v>
      </c>
      <c r="D218" s="241">
        <f t="shared" si="51"/>
      </c>
      <c r="E218" s="241">
        <f t="shared" si="52"/>
      </c>
      <c r="F218" s="241">
        <f t="shared" si="50"/>
      </c>
    </row>
    <row r="219" spans="3:8" ht="15">
      <c r="C219" s="241">
        <f t="shared" si="49"/>
        <v>1</v>
      </c>
      <c r="D219" s="241">
        <f t="shared" si="51"/>
      </c>
      <c r="E219" s="241">
        <f t="shared" si="52"/>
      </c>
      <c r="F219" s="241">
        <f t="shared" si="50"/>
      </c>
      <c r="H219" s="241" t="s">
        <v>300</v>
      </c>
    </row>
    <row r="220" spans="3:8" ht="15">
      <c r="C220" s="241">
        <f t="shared" si="49"/>
        <v>1</v>
      </c>
      <c r="D220" s="241">
        <f t="shared" si="51"/>
      </c>
      <c r="E220" s="241">
        <f t="shared" si="52"/>
      </c>
      <c r="F220" s="241">
        <f t="shared" si="50"/>
      </c>
      <c r="H220" s="241" t="str">
        <f aca="true" t="shared" si="53" ref="H220:H233">E91</f>
        <v>Jan-2014</v>
      </c>
    </row>
    <row r="221" spans="3:8" ht="15">
      <c r="C221" s="241">
        <f t="shared" si="49"/>
        <v>1</v>
      </c>
      <c r="D221" s="241">
        <f t="shared" si="51"/>
      </c>
      <c r="E221" s="241">
        <f t="shared" si="52"/>
      </c>
      <c r="F221" s="241">
        <f t="shared" si="50"/>
      </c>
      <c r="H221" s="241" t="str">
        <f t="shared" si="53"/>
        <v>Feb-2014</v>
      </c>
    </row>
    <row r="222" spans="3:8" ht="15">
      <c r="C222" s="241">
        <f t="shared" si="49"/>
        <v>1</v>
      </c>
      <c r="D222" s="241">
        <f t="shared" si="51"/>
      </c>
      <c r="E222" s="241">
        <f t="shared" si="52"/>
      </c>
      <c r="F222" s="241">
        <f t="shared" si="50"/>
      </c>
      <c r="H222" s="241" t="str">
        <f t="shared" si="53"/>
        <v>Mar-2014</v>
      </c>
    </row>
    <row r="223" spans="3:8" ht="15">
      <c r="C223" s="241">
        <f t="shared" si="49"/>
        <v>1</v>
      </c>
      <c r="D223" s="241">
        <f t="shared" si="51"/>
      </c>
      <c r="E223" s="241">
        <f t="shared" si="52"/>
      </c>
      <c r="F223" s="241">
        <f t="shared" si="50"/>
      </c>
      <c r="H223" s="241" t="str">
        <f t="shared" si="53"/>
        <v>Apr-2014</v>
      </c>
    </row>
    <row r="224" spans="3:8" ht="15">
      <c r="C224" s="241">
        <f t="shared" si="49"/>
        <v>1</v>
      </c>
      <c r="D224" s="241">
        <f t="shared" si="51"/>
      </c>
      <c r="E224" s="241">
        <f t="shared" si="52"/>
      </c>
      <c r="F224" s="241">
        <f t="shared" si="50"/>
      </c>
      <c r="H224" s="241" t="str">
        <f t="shared" si="53"/>
        <v>May-2014</v>
      </c>
    </row>
    <row r="225" spans="3:8" ht="15">
      <c r="C225" s="241">
        <f t="shared" si="49"/>
        <v>1</v>
      </c>
      <c r="D225" s="241">
        <f t="shared" si="51"/>
      </c>
      <c r="E225" s="241">
        <f t="shared" si="52"/>
      </c>
      <c r="F225" s="241">
        <f t="shared" si="50"/>
      </c>
      <c r="H225" s="241" t="str">
        <f t="shared" si="53"/>
        <v>Jun-2014</v>
      </c>
    </row>
    <row r="226" spans="3:8" ht="15">
      <c r="C226" s="241">
        <f t="shared" si="49"/>
        <v>1</v>
      </c>
      <c r="D226" s="241">
        <f t="shared" si="51"/>
      </c>
      <c r="E226" s="241">
        <f t="shared" si="52"/>
      </c>
      <c r="F226" s="241">
        <f t="shared" si="50"/>
      </c>
      <c r="H226" s="241" t="str">
        <f t="shared" si="53"/>
        <v>Jul-2014</v>
      </c>
    </row>
    <row r="227" spans="3:8" ht="15">
      <c r="C227" s="241">
        <f t="shared" si="49"/>
        <v>1</v>
      </c>
      <c r="D227" s="241">
        <f t="shared" si="51"/>
      </c>
      <c r="E227" s="241">
        <f t="shared" si="52"/>
      </c>
      <c r="F227" s="241">
        <f t="shared" si="50"/>
      </c>
      <c r="H227" s="241" t="str">
        <f t="shared" si="53"/>
        <v>Aug-2014</v>
      </c>
    </row>
    <row r="228" spans="3:8" ht="15">
      <c r="C228" s="241">
        <f t="shared" si="49"/>
        <v>1</v>
      </c>
      <c r="D228" s="241">
        <f t="shared" si="51"/>
      </c>
      <c r="E228" s="241">
        <f t="shared" si="52"/>
      </c>
      <c r="F228" s="241">
        <f>IF(NOT(C228=2),"",E104)</f>
      </c>
      <c r="H228" s="241" t="str">
        <f t="shared" si="53"/>
        <v>Sep-2014</v>
      </c>
    </row>
    <row r="229" spans="3:8" ht="15">
      <c r="C229" s="241">
        <f t="shared" si="49"/>
        <v>1</v>
      </c>
      <c r="D229" s="241">
        <f t="shared" si="51"/>
      </c>
      <c r="E229" s="241" t="str">
        <f>"Promotioin before "&amp;(E215)&amp;""</f>
        <v>Promotioin before </v>
      </c>
      <c r="F229" s="241">
        <f>IF(NOT(C229=2),"","increment after "&amp;(F228)&amp;"")</f>
      </c>
      <c r="H229" s="241" t="str">
        <f t="shared" si="53"/>
        <v>Oct-2014</v>
      </c>
    </row>
    <row r="230" spans="3:8" ht="15">
      <c r="C230" s="241">
        <f t="shared" si="49"/>
        <v>1</v>
      </c>
      <c r="D230" s="241">
        <f t="shared" si="51"/>
      </c>
      <c r="H230" s="241" t="str">
        <f t="shared" si="53"/>
        <v>Nov-2014</v>
      </c>
    </row>
    <row r="231" spans="3:8" ht="15">
      <c r="C231" s="241">
        <f t="shared" si="49"/>
        <v>1</v>
      </c>
      <c r="D231" s="241">
        <f t="shared" si="51"/>
      </c>
      <c r="H231" s="241" t="str">
        <f t="shared" si="53"/>
        <v>Dec-2014</v>
      </c>
    </row>
    <row r="232" spans="3:8" ht="15">
      <c r="C232" s="241">
        <f t="shared" si="49"/>
        <v>1</v>
      </c>
      <c r="D232" s="241">
        <f t="shared" si="51"/>
      </c>
      <c r="H232" s="241" t="str">
        <f t="shared" si="53"/>
        <v>Jan-2015</v>
      </c>
    </row>
    <row r="233" spans="3:8" ht="15">
      <c r="C233" s="241">
        <f t="shared" si="49"/>
        <v>1</v>
      </c>
      <c r="D233" s="241">
        <f t="shared" si="51"/>
      </c>
      <c r="H233" s="241" t="str">
        <f t="shared" si="53"/>
        <v>Feb-2015</v>
      </c>
    </row>
    <row r="234" spans="3:4" ht="15">
      <c r="C234" s="241">
        <f t="shared" si="49"/>
        <v>1</v>
      </c>
      <c r="D234" s="241">
        <f t="shared" si="51"/>
      </c>
    </row>
    <row r="235" spans="3:4" ht="15">
      <c r="C235" s="241">
        <f t="shared" si="49"/>
        <v>1</v>
      </c>
      <c r="D235" s="241">
        <f t="shared" si="51"/>
      </c>
    </row>
    <row r="236" spans="3:4" ht="15">
      <c r="C236" s="241">
        <f t="shared" si="49"/>
        <v>1</v>
      </c>
      <c r="D236" s="241">
        <f t="shared" si="51"/>
      </c>
    </row>
    <row r="237" spans="3:4" ht="15">
      <c r="C237" s="241">
        <f t="shared" si="49"/>
        <v>1</v>
      </c>
      <c r="D237" s="241">
        <f t="shared" si="51"/>
      </c>
    </row>
    <row r="238" spans="3:4" ht="15">
      <c r="C238" s="241">
        <f t="shared" si="49"/>
        <v>1</v>
      </c>
      <c r="D238" s="241">
        <f t="shared" si="51"/>
      </c>
    </row>
    <row r="239" spans="3:4" ht="15">
      <c r="C239" s="241">
        <f t="shared" si="49"/>
        <v>1</v>
      </c>
      <c r="D239" s="241">
        <f t="shared" si="51"/>
      </c>
    </row>
    <row r="240" spans="3:4" ht="15">
      <c r="C240" s="241">
        <f t="shared" si="49"/>
        <v>1</v>
      </c>
      <c r="D240" s="241">
        <f t="shared" si="51"/>
      </c>
    </row>
    <row r="241" spans="3:4" ht="15">
      <c r="C241" s="241">
        <f t="shared" si="49"/>
        <v>1</v>
      </c>
      <c r="D241" s="241">
        <f t="shared" si="51"/>
      </c>
    </row>
    <row r="242" spans="3:4" ht="15">
      <c r="C242" s="241">
        <f t="shared" si="49"/>
        <v>1</v>
      </c>
      <c r="D242" s="241">
        <f t="shared" si="51"/>
      </c>
    </row>
    <row r="243" spans="3:4" ht="15">
      <c r="C243" s="241">
        <f t="shared" si="49"/>
        <v>1</v>
      </c>
      <c r="D243" s="241">
        <f t="shared" si="51"/>
      </c>
    </row>
    <row r="244" spans="3:4" ht="15">
      <c r="C244" s="241">
        <f t="shared" si="49"/>
        <v>1</v>
      </c>
      <c r="D244" s="241">
        <f t="shared" si="51"/>
      </c>
    </row>
    <row r="245" spans="3:4" ht="15">
      <c r="C245" s="241">
        <f t="shared" si="49"/>
        <v>1</v>
      </c>
      <c r="D245" s="241">
        <f t="shared" si="51"/>
      </c>
    </row>
    <row r="270" ht="15">
      <c r="J270" s="241" t="s">
        <v>421</v>
      </c>
    </row>
    <row r="271" ht="15">
      <c r="J271" s="241" t="str">
        <f aca="true" t="shared" si="54" ref="J271:J282">J93</f>
        <v>Mar-2014</v>
      </c>
    </row>
    <row r="272" ht="15">
      <c r="J272" s="241" t="str">
        <f t="shared" si="54"/>
        <v>Apr-2014</v>
      </c>
    </row>
    <row r="273" ht="15">
      <c r="J273" s="241" t="str">
        <f t="shared" si="54"/>
        <v>May-2014</v>
      </c>
    </row>
    <row r="274" ht="15">
      <c r="J274" s="241" t="str">
        <f t="shared" si="54"/>
        <v>Jun-2014</v>
      </c>
    </row>
    <row r="275" ht="15">
      <c r="J275" s="241" t="str">
        <f t="shared" si="54"/>
        <v>Jul-2014</v>
      </c>
    </row>
    <row r="276" ht="15">
      <c r="J276" s="241" t="str">
        <f t="shared" si="54"/>
        <v>Aug-2014</v>
      </c>
    </row>
    <row r="277" ht="15">
      <c r="J277" s="241" t="str">
        <f t="shared" si="54"/>
        <v>Sep-2014</v>
      </c>
    </row>
    <row r="278" ht="15">
      <c r="J278" s="241" t="str">
        <f t="shared" si="54"/>
        <v>Oct-2014</v>
      </c>
    </row>
    <row r="279" ht="15">
      <c r="J279" s="241" t="str">
        <f t="shared" si="54"/>
        <v>Nov-2014</v>
      </c>
    </row>
    <row r="280" ht="15">
      <c r="J280" s="241" t="str">
        <f t="shared" si="54"/>
        <v>Dec-2014</v>
      </c>
    </row>
    <row r="281" ht="15">
      <c r="J281" s="241" t="str">
        <f t="shared" si="54"/>
        <v>Jan-2015</v>
      </c>
    </row>
    <row r="282" ht="15">
      <c r="J282" s="241" t="str">
        <f t="shared" si="54"/>
        <v>Feb-2015</v>
      </c>
    </row>
    <row r="301" spans="2:31" ht="15">
      <c r="B301" s="241">
        <v>1</v>
      </c>
      <c r="D301" s="241" t="str">
        <f aca="true" t="shared" si="55" ref="D301:AD301">D113</f>
        <v>Jan-2014</v>
      </c>
      <c r="F301" s="241">
        <f t="shared" si="55"/>
        <v>20680</v>
      </c>
      <c r="G301" s="241">
        <f t="shared" si="55"/>
        <v>63.344</v>
      </c>
      <c r="H301" s="241">
        <f t="shared" si="55"/>
        <v>0</v>
      </c>
      <c r="I301" s="241">
        <f t="shared" si="55"/>
        <v>71.904</v>
      </c>
      <c r="J301" s="241">
        <f t="shared" si="55"/>
        <v>63.344</v>
      </c>
      <c r="K301" s="241">
        <f t="shared" si="55"/>
        <v>0</v>
      </c>
      <c r="L301" s="241">
        <f t="shared" si="55"/>
        <v>2</v>
      </c>
      <c r="M301" s="241">
        <f t="shared" si="55"/>
        <v>71.904</v>
      </c>
      <c r="N301" s="241">
        <f t="shared" si="55"/>
        <v>14870</v>
      </c>
      <c r="O301" s="241">
        <f t="shared" si="55"/>
        <v>63.344</v>
      </c>
      <c r="P301" s="241">
        <f t="shared" si="55"/>
        <v>13100</v>
      </c>
      <c r="Q301" s="241">
        <f t="shared" si="55"/>
        <v>0</v>
      </c>
      <c r="R301" s="241" t="str">
        <f t="shared" si="55"/>
        <v>BP</v>
      </c>
      <c r="S301" s="241" t="str">
        <f t="shared" si="55"/>
        <v>FIXED</v>
      </c>
      <c r="T301" s="241" t="str">
        <f t="shared" si="55"/>
        <v>DRAWN</v>
      </c>
      <c r="U301" s="241" t="str">
        <f t="shared" si="55"/>
        <v>DIFFER</v>
      </c>
      <c r="V301" s="241">
        <f t="shared" si="55"/>
        <v>13100</v>
      </c>
      <c r="W301" s="241">
        <f t="shared" si="55"/>
        <v>0</v>
      </c>
      <c r="X301" s="241">
        <f t="shared" si="55"/>
        <v>12</v>
      </c>
      <c r="Y301" s="241">
        <f t="shared" si="55"/>
        <v>2482</v>
      </c>
      <c r="Z301" s="241">
        <f t="shared" si="55"/>
        <v>0</v>
      </c>
      <c r="AA301" s="241">
        <f t="shared" si="55"/>
        <v>0</v>
      </c>
      <c r="AB301" s="241">
        <f t="shared" si="55"/>
        <v>0</v>
      </c>
      <c r="AC301" s="241">
        <f t="shared" si="55"/>
        <v>0</v>
      </c>
      <c r="AD301" s="241">
        <f t="shared" si="55"/>
        <v>0</v>
      </c>
      <c r="AE301" s="241">
        <f aca="true" t="shared" si="56" ref="AE301:AE314">O91</f>
        <v>0</v>
      </c>
    </row>
    <row r="302" spans="2:31" ht="15">
      <c r="B302" s="241">
        <v>2</v>
      </c>
      <c r="D302" s="241" t="str">
        <f aca="true" t="shared" si="57" ref="D302:AD302">D114</f>
        <v>Feb-2014</v>
      </c>
      <c r="F302" s="241">
        <f t="shared" si="57"/>
        <v>20680</v>
      </c>
      <c r="G302" s="241">
        <f t="shared" si="57"/>
        <v>63.344</v>
      </c>
      <c r="H302" s="241">
        <f t="shared" si="57"/>
        <v>0</v>
      </c>
      <c r="I302" s="241">
        <f t="shared" si="57"/>
        <v>0</v>
      </c>
      <c r="J302" s="241">
        <f t="shared" si="57"/>
        <v>0</v>
      </c>
      <c r="K302" s="241">
        <f t="shared" si="57"/>
        <v>0</v>
      </c>
      <c r="L302" s="241">
        <f t="shared" si="57"/>
        <v>2</v>
      </c>
      <c r="M302" s="241">
        <f t="shared" si="57"/>
        <v>71.904</v>
      </c>
      <c r="N302" s="241">
        <f t="shared" si="57"/>
        <v>14870</v>
      </c>
      <c r="O302" s="241">
        <f t="shared" si="57"/>
        <v>63.344</v>
      </c>
      <c r="P302" s="241">
        <f t="shared" si="57"/>
        <v>13100</v>
      </c>
      <c r="Q302" s="241">
        <f t="shared" si="57"/>
        <v>0</v>
      </c>
      <c r="R302" s="241">
        <f t="shared" si="57"/>
        <v>82720</v>
      </c>
      <c r="S302" s="241">
        <f t="shared" si="57"/>
        <v>59480</v>
      </c>
      <c r="T302" s="241">
        <f t="shared" si="57"/>
        <v>52400</v>
      </c>
      <c r="U302" s="241">
        <f t="shared" si="57"/>
        <v>7080</v>
      </c>
      <c r="V302" s="241">
        <f t="shared" si="57"/>
        <v>13100</v>
      </c>
      <c r="W302" s="241">
        <f t="shared" si="57"/>
        <v>0</v>
      </c>
      <c r="X302" s="241">
        <f t="shared" si="57"/>
        <v>12</v>
      </c>
      <c r="Y302" s="241">
        <f t="shared" si="57"/>
        <v>2482</v>
      </c>
      <c r="Z302" s="241">
        <f t="shared" si="57"/>
        <v>0</v>
      </c>
      <c r="AA302" s="241">
        <f t="shared" si="57"/>
        <v>0</v>
      </c>
      <c r="AB302" s="241">
        <f t="shared" si="57"/>
        <v>0</v>
      </c>
      <c r="AC302" s="241">
        <f t="shared" si="57"/>
        <v>0</v>
      </c>
      <c r="AD302" s="241">
        <f t="shared" si="57"/>
        <v>0</v>
      </c>
      <c r="AE302" s="241">
        <f t="shared" si="56"/>
        <v>0</v>
      </c>
    </row>
    <row r="303" spans="2:31" ht="15">
      <c r="B303" s="241">
        <v>3</v>
      </c>
      <c r="D303" s="241" t="str">
        <f aca="true" t="shared" si="58" ref="D303:AD303">D115</f>
        <v>Mar-2014</v>
      </c>
      <c r="F303" s="241">
        <f t="shared" si="58"/>
        <v>20680</v>
      </c>
      <c r="G303" s="241">
        <f t="shared" si="58"/>
        <v>63.344</v>
      </c>
      <c r="H303" s="241">
        <f t="shared" si="58"/>
        <v>82720</v>
      </c>
      <c r="I303" s="241">
        <f t="shared" si="58"/>
        <v>59479</v>
      </c>
      <c r="J303" s="241">
        <f t="shared" si="58"/>
        <v>52398</v>
      </c>
      <c r="K303" s="241">
        <f t="shared" si="58"/>
        <v>7081</v>
      </c>
      <c r="L303" s="241">
        <f t="shared" si="58"/>
        <v>2</v>
      </c>
      <c r="M303" s="241">
        <f t="shared" si="58"/>
        <v>71.904</v>
      </c>
      <c r="N303" s="241">
        <f t="shared" si="58"/>
        <v>14870</v>
      </c>
      <c r="O303" s="241">
        <f t="shared" si="58"/>
        <v>63.344</v>
      </c>
      <c r="P303" s="241">
        <f t="shared" si="58"/>
        <v>13100</v>
      </c>
      <c r="Q303" s="241" t="str">
        <f t="shared" si="58"/>
        <v>surrender</v>
      </c>
      <c r="R303" s="241">
        <f t="shared" si="58"/>
        <v>0</v>
      </c>
      <c r="S303" s="241">
        <f t="shared" si="58"/>
        <v>0</v>
      </c>
      <c r="T303" s="241">
        <f t="shared" si="58"/>
        <v>0</v>
      </c>
      <c r="U303" s="241">
        <f t="shared" si="58"/>
        <v>0</v>
      </c>
      <c r="V303" s="241">
        <f t="shared" si="58"/>
        <v>13100</v>
      </c>
      <c r="W303" s="241">
        <f t="shared" si="58"/>
        <v>0</v>
      </c>
      <c r="X303" s="241">
        <f t="shared" si="58"/>
        <v>12</v>
      </c>
      <c r="Y303" s="241">
        <f t="shared" si="58"/>
        <v>2482</v>
      </c>
      <c r="Z303" s="241">
        <f t="shared" si="58"/>
        <v>0</v>
      </c>
      <c r="AA303" s="241">
        <f t="shared" si="58"/>
        <v>2</v>
      </c>
      <c r="AB303" s="241" t="str">
        <f t="shared" si="58"/>
        <v> </v>
      </c>
      <c r="AC303" s="241">
        <f t="shared" si="58"/>
        <v>0</v>
      </c>
      <c r="AD303" s="241">
        <f t="shared" si="58"/>
        <v>0</v>
      </c>
      <c r="AE303" s="241">
        <f t="shared" si="56"/>
        <v>0</v>
      </c>
    </row>
    <row r="304" spans="2:31" ht="15">
      <c r="B304" s="241">
        <v>4</v>
      </c>
      <c r="D304" s="241" t="str">
        <f aca="true" t="shared" si="59" ref="D304:AD304">D116</f>
        <v>Apr-2014</v>
      </c>
      <c r="F304" s="241">
        <f t="shared" si="59"/>
        <v>20680</v>
      </c>
      <c r="G304" s="241">
        <f t="shared" si="59"/>
        <v>63.344</v>
      </c>
      <c r="H304" s="241">
        <f t="shared" si="59"/>
        <v>0</v>
      </c>
      <c r="I304" s="241">
        <f t="shared" si="59"/>
        <v>0</v>
      </c>
      <c r="J304" s="241">
        <f t="shared" si="59"/>
        <v>0</v>
      </c>
      <c r="K304" s="241">
        <f t="shared" si="59"/>
        <v>0</v>
      </c>
      <c r="L304" s="241">
        <f t="shared" si="59"/>
        <v>2</v>
      </c>
      <c r="M304" s="241">
        <f t="shared" si="59"/>
        <v>71.904</v>
      </c>
      <c r="N304" s="241">
        <f t="shared" si="59"/>
        <v>14870</v>
      </c>
      <c r="O304" s="241">
        <f t="shared" si="59"/>
        <v>63.344</v>
      </c>
      <c r="P304" s="241">
        <f t="shared" si="59"/>
        <v>13100</v>
      </c>
      <c r="Q304" s="241" t="str">
        <f t="shared" si="59"/>
        <v>AAS</v>
      </c>
      <c r="R304" s="241">
        <f t="shared" si="59"/>
        <v>0</v>
      </c>
      <c r="S304" s="241">
        <f t="shared" si="59"/>
        <v>0</v>
      </c>
      <c r="T304" s="241">
        <f t="shared" si="59"/>
        <v>0</v>
      </c>
      <c r="U304" s="241">
        <f t="shared" si="59"/>
        <v>0</v>
      </c>
      <c r="V304" s="241">
        <f t="shared" si="59"/>
        <v>13100</v>
      </c>
      <c r="W304" s="241">
        <f t="shared" si="59"/>
        <v>0</v>
      </c>
      <c r="X304" s="241">
        <f t="shared" si="59"/>
        <v>12</v>
      </c>
      <c r="Y304" s="241">
        <f t="shared" si="59"/>
        <v>2482</v>
      </c>
      <c r="Z304" s="241">
        <f t="shared" si="59"/>
        <v>0</v>
      </c>
      <c r="AA304" s="241">
        <f t="shared" si="59"/>
        <v>2</v>
      </c>
      <c r="AB304" s="241" t="str">
        <f t="shared" si="59"/>
        <v> </v>
      </c>
      <c r="AC304" s="241">
        <f t="shared" si="59"/>
        <v>0</v>
      </c>
      <c r="AD304" s="241">
        <f t="shared" si="59"/>
        <v>0</v>
      </c>
      <c r="AE304" s="241">
        <f t="shared" si="56"/>
        <v>0</v>
      </c>
    </row>
    <row r="305" spans="2:31" ht="15">
      <c r="B305" s="241">
        <v>5</v>
      </c>
      <c r="D305" s="241" t="str">
        <f aca="true" t="shared" si="60" ref="D305:AD305">D117</f>
        <v>May-2014</v>
      </c>
      <c r="F305" s="241">
        <f t="shared" si="60"/>
        <v>20680</v>
      </c>
      <c r="G305" s="241">
        <f t="shared" si="60"/>
        <v>71.904</v>
      </c>
      <c r="H305" s="241">
        <f t="shared" si="60"/>
        <v>62040</v>
      </c>
      <c r="I305" s="241">
        <f t="shared" si="60"/>
        <v>48327</v>
      </c>
      <c r="J305" s="241">
        <f t="shared" si="60"/>
        <v>44609</v>
      </c>
      <c r="K305" s="241">
        <f t="shared" si="60"/>
        <v>3718</v>
      </c>
      <c r="L305" s="241">
        <f t="shared" si="60"/>
        <v>2</v>
      </c>
      <c r="M305" s="241">
        <f t="shared" si="60"/>
        <v>71.904</v>
      </c>
      <c r="N305" s="241">
        <f t="shared" si="60"/>
        <v>14870</v>
      </c>
      <c r="O305" s="241">
        <f t="shared" si="60"/>
        <v>63.344</v>
      </c>
      <c r="P305" s="241">
        <f t="shared" si="60"/>
        <v>13100</v>
      </c>
      <c r="Q305" s="241" t="str">
        <f t="shared" si="60"/>
        <v>PROM</v>
      </c>
      <c r="R305" s="241">
        <f t="shared" si="60"/>
        <v>0</v>
      </c>
      <c r="S305" s="241">
        <f t="shared" si="60"/>
        <v>0</v>
      </c>
      <c r="T305" s="241">
        <f t="shared" si="60"/>
        <v>0</v>
      </c>
      <c r="U305" s="241">
        <f t="shared" si="60"/>
        <v>0</v>
      </c>
      <c r="V305" s="241">
        <f t="shared" si="60"/>
        <v>14870</v>
      </c>
      <c r="W305" s="241">
        <f t="shared" si="60"/>
        <v>0</v>
      </c>
      <c r="X305" s="241">
        <f t="shared" si="60"/>
        <v>12</v>
      </c>
      <c r="Y305" s="241">
        <f t="shared" si="60"/>
        <v>2482</v>
      </c>
      <c r="Z305" s="241">
        <f t="shared" si="60"/>
        <v>0</v>
      </c>
      <c r="AA305" s="241">
        <f t="shared" si="60"/>
        <v>2</v>
      </c>
      <c r="AB305" s="241" t="str">
        <f t="shared" si="60"/>
        <v> </v>
      </c>
      <c r="AC305" s="241">
        <f t="shared" si="60"/>
        <v>0</v>
      </c>
      <c r="AD305" s="241">
        <f t="shared" si="60"/>
        <v>0</v>
      </c>
      <c r="AE305" s="241">
        <f t="shared" si="56"/>
        <v>0</v>
      </c>
    </row>
    <row r="306" spans="2:31" ht="15">
      <c r="B306" s="241">
        <v>6</v>
      </c>
      <c r="D306" s="241" t="str">
        <f aca="true" t="shared" si="61" ref="D306:AD306">D118</f>
        <v>Jun-2014</v>
      </c>
      <c r="F306" s="241">
        <f t="shared" si="61"/>
        <v>20680</v>
      </c>
      <c r="G306" s="241">
        <f t="shared" si="61"/>
        <v>71.904</v>
      </c>
      <c r="H306" s="241" t="str">
        <f t="shared" si="61"/>
        <v>DA IIND HALF DRAWN</v>
      </c>
      <c r="I306" s="241" t="str">
        <f t="shared" si="61"/>
        <v>difference</v>
      </c>
      <c r="J306" s="241">
        <f t="shared" si="61"/>
        <v>0</v>
      </c>
      <c r="K306" s="241" t="str">
        <f t="shared" si="61"/>
        <v>DA IIND HALF FIXED</v>
      </c>
      <c r="L306" s="241">
        <f t="shared" si="61"/>
        <v>2</v>
      </c>
      <c r="M306" s="241">
        <f t="shared" si="61"/>
        <v>71.904</v>
      </c>
      <c r="N306" s="241">
        <f t="shared" si="61"/>
        <v>14870</v>
      </c>
      <c r="O306" s="241">
        <f t="shared" si="61"/>
        <v>63.344</v>
      </c>
      <c r="P306" s="241">
        <f t="shared" si="61"/>
        <v>13100</v>
      </c>
      <c r="Q306" s="241" t="str">
        <f t="shared" si="61"/>
        <v>total</v>
      </c>
      <c r="R306" s="241">
        <f t="shared" si="61"/>
        <v>82720</v>
      </c>
      <c r="S306" s="241">
        <f t="shared" si="61"/>
        <v>59480</v>
      </c>
      <c r="T306" s="241">
        <f t="shared" si="61"/>
        <v>52400</v>
      </c>
      <c r="U306" s="241">
        <f t="shared" si="61"/>
        <v>7080</v>
      </c>
      <c r="V306" s="241">
        <f t="shared" si="61"/>
        <v>14870</v>
      </c>
      <c r="W306" s="241">
        <f t="shared" si="61"/>
        <v>0</v>
      </c>
      <c r="X306" s="241">
        <f t="shared" si="61"/>
        <v>12</v>
      </c>
      <c r="Y306" s="241">
        <f t="shared" si="61"/>
        <v>2482</v>
      </c>
      <c r="Z306" s="241">
        <f t="shared" si="61"/>
        <v>0</v>
      </c>
      <c r="AA306" s="241">
        <f t="shared" si="61"/>
        <v>2</v>
      </c>
      <c r="AB306" s="241" t="str">
        <f t="shared" si="61"/>
        <v> </v>
      </c>
      <c r="AC306" s="241">
        <f t="shared" si="61"/>
        <v>0</v>
      </c>
      <c r="AD306" s="241">
        <f t="shared" si="61"/>
        <v>0</v>
      </c>
      <c r="AE306" s="241">
        <f t="shared" si="56"/>
        <v>0</v>
      </c>
    </row>
    <row r="307" spans="2:31" ht="15">
      <c r="B307" s="241">
        <v>7</v>
      </c>
      <c r="D307" s="241" t="str">
        <f aca="true" t="shared" si="62" ref="D307:AD307">D119</f>
        <v>Jul-2014</v>
      </c>
      <c r="F307" s="241">
        <f t="shared" si="62"/>
        <v>20680</v>
      </c>
      <c r="G307" s="241">
        <f t="shared" si="62"/>
        <v>71.904</v>
      </c>
      <c r="H307" s="241">
        <f t="shared" si="62"/>
        <v>14870</v>
      </c>
      <c r="I307" s="241">
        <f t="shared" si="62"/>
        <v>1239</v>
      </c>
      <c r="J307" s="241">
        <f t="shared" si="62"/>
        <v>77.896</v>
      </c>
      <c r="K307" s="241">
        <f t="shared" si="62"/>
        <v>16109</v>
      </c>
      <c r="L307" s="241">
        <f t="shared" si="62"/>
        <v>2</v>
      </c>
      <c r="M307" s="241">
        <f t="shared" si="62"/>
        <v>71.904</v>
      </c>
      <c r="N307" s="241">
        <f t="shared" si="62"/>
        <v>14870</v>
      </c>
      <c r="O307" s="241">
        <f t="shared" si="62"/>
        <v>63.344</v>
      </c>
      <c r="P307" s="241">
        <f t="shared" si="62"/>
        <v>13100</v>
      </c>
      <c r="Q307" s="241">
        <f t="shared" si="62"/>
        <v>0</v>
      </c>
      <c r="R307" s="241">
        <f t="shared" si="62"/>
        <v>0</v>
      </c>
      <c r="S307" s="241">
        <f t="shared" si="62"/>
        <v>0</v>
      </c>
      <c r="T307" s="241">
        <f t="shared" si="62"/>
        <v>0</v>
      </c>
      <c r="U307" s="241">
        <f t="shared" si="62"/>
        <v>0</v>
      </c>
      <c r="V307" s="241">
        <f t="shared" si="62"/>
        <v>14870</v>
      </c>
      <c r="W307" s="241">
        <f t="shared" si="62"/>
        <v>0</v>
      </c>
      <c r="X307" s="241">
        <f t="shared" si="62"/>
        <v>12</v>
      </c>
      <c r="Y307" s="241">
        <f t="shared" si="62"/>
        <v>2482</v>
      </c>
      <c r="Z307" s="241">
        <f t="shared" si="62"/>
        <v>0</v>
      </c>
      <c r="AA307" s="241">
        <f t="shared" si="62"/>
        <v>2</v>
      </c>
      <c r="AB307" s="241" t="str">
        <f t="shared" si="62"/>
        <v> </v>
      </c>
      <c r="AC307" s="241">
        <f t="shared" si="62"/>
        <v>0</v>
      </c>
      <c r="AD307" s="241">
        <f t="shared" si="62"/>
        <v>0</v>
      </c>
      <c r="AE307" s="241">
        <f t="shared" si="56"/>
        <v>0</v>
      </c>
    </row>
    <row r="308" spans="2:31" ht="15">
      <c r="B308" s="241">
        <v>8</v>
      </c>
      <c r="D308" s="241" t="str">
        <f aca="true" t="shared" si="63" ref="D308:AD308">D120</f>
        <v>Aug-2014</v>
      </c>
      <c r="F308" s="241">
        <f t="shared" si="63"/>
        <v>20680</v>
      </c>
      <c r="G308" s="241">
        <f t="shared" si="63"/>
        <v>71.904</v>
      </c>
      <c r="H308" s="241">
        <f t="shared" si="63"/>
        <v>14870</v>
      </c>
      <c r="I308" s="241">
        <f t="shared" si="63"/>
        <v>1239</v>
      </c>
      <c r="J308" s="241">
        <f t="shared" si="63"/>
        <v>77.896</v>
      </c>
      <c r="K308" s="241">
        <f t="shared" si="63"/>
        <v>16109</v>
      </c>
      <c r="L308" s="241">
        <f t="shared" si="63"/>
        <v>2</v>
      </c>
      <c r="M308" s="241">
        <f t="shared" si="63"/>
        <v>71.904</v>
      </c>
      <c r="N308" s="241">
        <f t="shared" si="63"/>
        <v>14870</v>
      </c>
      <c r="O308" s="241">
        <f t="shared" si="63"/>
        <v>63.344</v>
      </c>
      <c r="P308" s="241">
        <f t="shared" si="63"/>
        <v>13100</v>
      </c>
      <c r="Q308" s="241">
        <f t="shared" si="63"/>
        <v>0</v>
      </c>
      <c r="R308" s="241" t="str">
        <f t="shared" si="63"/>
        <v>BP</v>
      </c>
      <c r="S308" s="241" t="str">
        <f t="shared" si="63"/>
        <v>FIXED</v>
      </c>
      <c r="T308" s="241" t="str">
        <f t="shared" si="63"/>
        <v>DRAWN</v>
      </c>
      <c r="U308" s="241" t="str">
        <f t="shared" si="63"/>
        <v>DIFFER</v>
      </c>
      <c r="V308" s="241">
        <f t="shared" si="63"/>
        <v>14870</v>
      </c>
      <c r="W308" s="241">
        <f t="shared" si="63"/>
        <v>0</v>
      </c>
      <c r="X308" s="241">
        <f t="shared" si="63"/>
        <v>12</v>
      </c>
      <c r="Y308" s="241">
        <f t="shared" si="63"/>
        <v>2482</v>
      </c>
      <c r="Z308" s="241">
        <f t="shared" si="63"/>
        <v>0</v>
      </c>
      <c r="AA308" s="241">
        <f t="shared" si="63"/>
        <v>2</v>
      </c>
      <c r="AB308" s="241" t="str">
        <f t="shared" si="63"/>
        <v> </v>
      </c>
      <c r="AC308" s="241">
        <f t="shared" si="63"/>
        <v>0</v>
      </c>
      <c r="AD308" s="241">
        <f t="shared" si="63"/>
        <v>0</v>
      </c>
      <c r="AE308" s="241">
        <f t="shared" si="56"/>
        <v>0</v>
      </c>
    </row>
    <row r="309" spans="2:31" ht="15">
      <c r="B309" s="241">
        <v>9</v>
      </c>
      <c r="D309" s="241" t="str">
        <f aca="true" t="shared" si="64" ref="D309:AD309">D121</f>
        <v>Sep-2014</v>
      </c>
      <c r="F309" s="241">
        <f t="shared" si="64"/>
        <v>20680</v>
      </c>
      <c r="G309" s="241">
        <f t="shared" si="64"/>
        <v>71.904</v>
      </c>
      <c r="H309" s="241">
        <f t="shared" si="64"/>
        <v>14870</v>
      </c>
      <c r="I309" s="241">
        <f t="shared" si="64"/>
        <v>1239</v>
      </c>
      <c r="J309" s="241">
        <f t="shared" si="64"/>
        <v>77.896</v>
      </c>
      <c r="K309" s="241">
        <f t="shared" si="64"/>
        <v>16109</v>
      </c>
      <c r="L309" s="241">
        <f t="shared" si="64"/>
        <v>2</v>
      </c>
      <c r="M309" s="241">
        <f t="shared" si="64"/>
        <v>71.904</v>
      </c>
      <c r="N309" s="241">
        <f t="shared" si="64"/>
        <v>14870</v>
      </c>
      <c r="O309" s="241">
        <f t="shared" si="64"/>
        <v>63.344</v>
      </c>
      <c r="P309" s="241">
        <f t="shared" si="64"/>
        <v>13100</v>
      </c>
      <c r="Q309" s="241">
        <f t="shared" si="64"/>
        <v>0</v>
      </c>
      <c r="R309" s="241">
        <f t="shared" si="64"/>
        <v>62040</v>
      </c>
      <c r="S309" s="241">
        <f t="shared" si="64"/>
        <v>48327</v>
      </c>
      <c r="T309" s="241">
        <f t="shared" si="64"/>
        <v>44610</v>
      </c>
      <c r="U309" s="241">
        <f t="shared" si="64"/>
        <v>3717</v>
      </c>
      <c r="V309" s="241">
        <f t="shared" si="64"/>
        <v>14870</v>
      </c>
      <c r="W309" s="241">
        <f t="shared" si="64"/>
        <v>0</v>
      </c>
      <c r="X309" s="241">
        <f t="shared" si="64"/>
        <v>12</v>
      </c>
      <c r="Y309" s="241">
        <f t="shared" si="64"/>
        <v>2482</v>
      </c>
      <c r="Z309" s="241">
        <f t="shared" si="64"/>
        <v>0</v>
      </c>
      <c r="AA309" s="241">
        <f t="shared" si="64"/>
        <v>2</v>
      </c>
      <c r="AB309" s="241" t="str">
        <f t="shared" si="64"/>
        <v> </v>
      </c>
      <c r="AC309" s="241">
        <f t="shared" si="64"/>
        <v>0</v>
      </c>
      <c r="AD309" s="241">
        <f t="shared" si="64"/>
        <v>0</v>
      </c>
      <c r="AE309" s="241">
        <f t="shared" si="56"/>
        <v>0</v>
      </c>
    </row>
    <row r="310" spans="2:31" ht="15">
      <c r="B310" s="241">
        <v>10</v>
      </c>
      <c r="D310" s="241" t="str">
        <f aca="true" t="shared" si="65" ref="D310:AD310">D122</f>
        <v>Oct-2014</v>
      </c>
      <c r="F310" s="241">
        <f t="shared" si="65"/>
        <v>20680</v>
      </c>
      <c r="G310" s="241">
        <f t="shared" si="65"/>
        <v>77.896</v>
      </c>
      <c r="H310" s="241">
        <f t="shared" si="65"/>
        <v>14870</v>
      </c>
      <c r="I310" s="241">
        <f t="shared" si="65"/>
        <v>1239</v>
      </c>
      <c r="J310" s="241">
        <f t="shared" si="65"/>
        <v>77.896</v>
      </c>
      <c r="K310" s="241">
        <f t="shared" si="65"/>
        <v>16109</v>
      </c>
      <c r="L310" s="241">
        <f t="shared" si="65"/>
        <v>2</v>
      </c>
      <c r="M310" s="241">
        <f t="shared" si="65"/>
        <v>71.904</v>
      </c>
      <c r="N310" s="241">
        <f t="shared" si="65"/>
        <v>14870</v>
      </c>
      <c r="O310" s="241">
        <f t="shared" si="65"/>
        <v>63.344</v>
      </c>
      <c r="P310" s="241">
        <f t="shared" si="65"/>
        <v>13100</v>
      </c>
      <c r="Q310" s="241" t="str">
        <f t="shared" si="65"/>
        <v>surrender</v>
      </c>
      <c r="R310" s="241">
        <f t="shared" si="65"/>
        <v>0</v>
      </c>
      <c r="S310" s="241">
        <f t="shared" si="65"/>
        <v>0</v>
      </c>
      <c r="T310" s="241">
        <f t="shared" si="65"/>
        <v>0</v>
      </c>
      <c r="U310" s="241">
        <f t="shared" si="65"/>
        <v>0</v>
      </c>
      <c r="V310" s="241">
        <f t="shared" si="65"/>
        <v>16109</v>
      </c>
      <c r="W310" s="241">
        <f t="shared" si="65"/>
        <v>0</v>
      </c>
      <c r="X310" s="241">
        <f t="shared" si="65"/>
        <v>12</v>
      </c>
      <c r="Y310" s="241">
        <f t="shared" si="65"/>
        <v>2482</v>
      </c>
      <c r="Z310" s="241">
        <f t="shared" si="65"/>
        <v>0</v>
      </c>
      <c r="AA310" s="241">
        <f t="shared" si="65"/>
        <v>2</v>
      </c>
      <c r="AB310" s="241" t="str">
        <f t="shared" si="65"/>
        <v> </v>
      </c>
      <c r="AC310" s="241">
        <f t="shared" si="65"/>
        <v>0</v>
      </c>
      <c r="AD310" s="241">
        <f t="shared" si="65"/>
        <v>0</v>
      </c>
      <c r="AE310" s="241">
        <f t="shared" si="56"/>
        <v>0</v>
      </c>
    </row>
    <row r="311" spans="2:31" ht="15">
      <c r="B311" s="241">
        <v>11</v>
      </c>
      <c r="D311" s="241" t="str">
        <f aca="true" t="shared" si="66" ref="D311:AD311">D123</f>
        <v>Nov-2014</v>
      </c>
      <c r="F311" s="241">
        <f t="shared" si="66"/>
        <v>21250</v>
      </c>
      <c r="G311" s="241">
        <f t="shared" si="66"/>
        <v>77.896</v>
      </c>
      <c r="H311" s="241">
        <f t="shared" si="66"/>
        <v>15280</v>
      </c>
      <c r="I311" s="241">
        <f t="shared" si="66"/>
        <v>1273</v>
      </c>
      <c r="J311" s="241">
        <f t="shared" si="66"/>
        <v>77.896</v>
      </c>
      <c r="K311" s="241">
        <f t="shared" si="66"/>
        <v>16553</v>
      </c>
      <c r="L311" s="241">
        <f t="shared" si="66"/>
        <v>2</v>
      </c>
      <c r="M311" s="241">
        <f t="shared" si="66"/>
        <v>71.904</v>
      </c>
      <c r="N311" s="241">
        <f t="shared" si="66"/>
        <v>15280</v>
      </c>
      <c r="O311" s="241">
        <f t="shared" si="66"/>
        <v>63.344</v>
      </c>
      <c r="P311" s="241">
        <f t="shared" si="66"/>
        <v>13461</v>
      </c>
      <c r="Q311" s="241" t="str">
        <f t="shared" si="66"/>
        <v>AAS</v>
      </c>
      <c r="R311" s="241">
        <f t="shared" si="66"/>
        <v>0</v>
      </c>
      <c r="S311" s="241">
        <f t="shared" si="66"/>
        <v>0</v>
      </c>
      <c r="T311" s="241">
        <f t="shared" si="66"/>
        <v>0</v>
      </c>
      <c r="U311" s="241">
        <f t="shared" si="66"/>
        <v>0</v>
      </c>
      <c r="V311" s="241">
        <f t="shared" si="66"/>
        <v>16553</v>
      </c>
      <c r="W311" s="241">
        <f t="shared" si="66"/>
        <v>0</v>
      </c>
      <c r="X311" s="241">
        <f t="shared" si="66"/>
        <v>12</v>
      </c>
      <c r="Y311" s="241">
        <f t="shared" si="66"/>
        <v>2550</v>
      </c>
      <c r="Z311" s="241">
        <f t="shared" si="66"/>
        <v>0</v>
      </c>
      <c r="AA311" s="241">
        <f t="shared" si="66"/>
        <v>2</v>
      </c>
      <c r="AB311" s="241" t="str">
        <f t="shared" si="66"/>
        <v> </v>
      </c>
      <c r="AC311" s="241">
        <f t="shared" si="66"/>
        <v>0</v>
      </c>
      <c r="AD311" s="241">
        <f t="shared" si="66"/>
        <v>0</v>
      </c>
      <c r="AE311" s="241">
        <f t="shared" si="56"/>
        <v>0</v>
      </c>
    </row>
    <row r="312" spans="2:31" ht="15">
      <c r="B312" s="241">
        <v>12</v>
      </c>
      <c r="D312" s="241" t="str">
        <f aca="true" t="shared" si="67" ref="D312:AD312">D124</f>
        <v>Dec-2014</v>
      </c>
      <c r="F312" s="241">
        <f t="shared" si="67"/>
        <v>21250</v>
      </c>
      <c r="G312" s="241">
        <f t="shared" si="67"/>
        <v>77.896</v>
      </c>
      <c r="H312" s="241">
        <f t="shared" si="67"/>
        <v>15280</v>
      </c>
      <c r="I312" s="241">
        <f t="shared" si="67"/>
        <v>1273</v>
      </c>
      <c r="J312" s="241">
        <f t="shared" si="67"/>
        <v>77.896</v>
      </c>
      <c r="K312" s="241">
        <f t="shared" si="67"/>
        <v>16553</v>
      </c>
      <c r="L312" s="241">
        <f t="shared" si="67"/>
        <v>2</v>
      </c>
      <c r="M312" s="241">
        <f t="shared" si="67"/>
        <v>71.904</v>
      </c>
      <c r="N312" s="241">
        <f t="shared" si="67"/>
        <v>15280</v>
      </c>
      <c r="O312" s="241">
        <f t="shared" si="67"/>
        <v>63.344</v>
      </c>
      <c r="P312" s="241">
        <f t="shared" si="67"/>
        <v>13461</v>
      </c>
      <c r="Q312" s="241" t="str">
        <f t="shared" si="67"/>
        <v>PROM</v>
      </c>
      <c r="R312" s="241">
        <f t="shared" si="67"/>
        <v>0</v>
      </c>
      <c r="S312" s="241">
        <f t="shared" si="67"/>
        <v>0</v>
      </c>
      <c r="T312" s="241">
        <f t="shared" si="67"/>
        <v>0</v>
      </c>
      <c r="U312" s="241">
        <f t="shared" si="67"/>
        <v>0</v>
      </c>
      <c r="V312" s="241">
        <f t="shared" si="67"/>
        <v>16553</v>
      </c>
      <c r="W312" s="241">
        <f t="shared" si="67"/>
        <v>0</v>
      </c>
      <c r="X312" s="241">
        <f t="shared" si="67"/>
        <v>12</v>
      </c>
      <c r="Y312" s="241">
        <f t="shared" si="67"/>
        <v>2550</v>
      </c>
      <c r="Z312" s="241">
        <f t="shared" si="67"/>
        <v>0</v>
      </c>
      <c r="AA312" s="241">
        <f t="shared" si="67"/>
        <v>2</v>
      </c>
      <c r="AB312" s="241" t="str">
        <f t="shared" si="67"/>
        <v> </v>
      </c>
      <c r="AC312" s="241">
        <f t="shared" si="67"/>
        <v>0</v>
      </c>
      <c r="AD312" s="241">
        <f t="shared" si="67"/>
        <v>0</v>
      </c>
      <c r="AE312" s="241">
        <f t="shared" si="56"/>
        <v>0</v>
      </c>
    </row>
    <row r="313" spans="2:31" ht="15">
      <c r="B313" s="241">
        <v>13</v>
      </c>
      <c r="D313" s="241" t="str">
        <f aca="true" t="shared" si="68" ref="D313:AD313">D125</f>
        <v>Jan-2015</v>
      </c>
      <c r="F313" s="241">
        <f t="shared" si="68"/>
        <v>21250</v>
      </c>
      <c r="G313" s="241">
        <f t="shared" si="68"/>
        <v>77.896</v>
      </c>
      <c r="H313" s="241">
        <f t="shared" si="68"/>
        <v>15280</v>
      </c>
      <c r="I313" s="241">
        <f t="shared" si="68"/>
        <v>1273</v>
      </c>
      <c r="J313" s="241">
        <f t="shared" si="68"/>
        <v>77.896</v>
      </c>
      <c r="K313" s="241">
        <f t="shared" si="68"/>
        <v>16553</v>
      </c>
      <c r="L313" s="241">
        <f t="shared" si="68"/>
        <v>2</v>
      </c>
      <c r="M313" s="241">
        <f t="shared" si="68"/>
        <v>71.904</v>
      </c>
      <c r="N313" s="241">
        <f t="shared" si="68"/>
        <v>15280</v>
      </c>
      <c r="O313" s="241">
        <f t="shared" si="68"/>
        <v>63.344</v>
      </c>
      <c r="P313" s="241">
        <f t="shared" si="68"/>
        <v>13461</v>
      </c>
      <c r="Q313" s="241" t="str">
        <f t="shared" si="68"/>
        <v>total</v>
      </c>
      <c r="R313" s="241">
        <f t="shared" si="68"/>
        <v>62040</v>
      </c>
      <c r="S313" s="241">
        <f t="shared" si="68"/>
        <v>48327</v>
      </c>
      <c r="T313" s="241">
        <f t="shared" si="68"/>
        <v>44610</v>
      </c>
      <c r="U313" s="241">
        <f t="shared" si="68"/>
        <v>3717</v>
      </c>
      <c r="V313" s="241">
        <f t="shared" si="68"/>
        <v>16553</v>
      </c>
      <c r="W313" s="241">
        <f t="shared" si="68"/>
        <v>0</v>
      </c>
      <c r="X313" s="241">
        <f t="shared" si="68"/>
        <v>12</v>
      </c>
      <c r="Y313" s="241">
        <f t="shared" si="68"/>
        <v>2550</v>
      </c>
      <c r="Z313" s="241">
        <f t="shared" si="68"/>
        <v>0</v>
      </c>
      <c r="AA313" s="241">
        <f t="shared" si="68"/>
        <v>2</v>
      </c>
      <c r="AB313" s="241" t="str">
        <f t="shared" si="68"/>
        <v> </v>
      </c>
      <c r="AC313" s="241">
        <f t="shared" si="68"/>
        <v>0</v>
      </c>
      <c r="AD313" s="241">
        <f t="shared" si="68"/>
        <v>0</v>
      </c>
      <c r="AE313" s="241">
        <f t="shared" si="56"/>
        <v>0</v>
      </c>
    </row>
    <row r="314" spans="2:31" ht="15">
      <c r="B314" s="241">
        <v>14</v>
      </c>
      <c r="D314" s="241" t="str">
        <f aca="true" t="shared" si="69" ref="D314:AD314">D126</f>
        <v>Feb-2015</v>
      </c>
      <c r="F314" s="241">
        <f t="shared" si="69"/>
        <v>21250</v>
      </c>
      <c r="G314" s="241">
        <f t="shared" si="69"/>
        <v>77.896</v>
      </c>
      <c r="H314" s="241">
        <f t="shared" si="69"/>
        <v>15280</v>
      </c>
      <c r="I314" s="241">
        <f t="shared" si="69"/>
        <v>1273</v>
      </c>
      <c r="J314" s="241">
        <f t="shared" si="69"/>
        <v>77.896</v>
      </c>
      <c r="K314" s="241">
        <f t="shared" si="69"/>
        <v>16553</v>
      </c>
      <c r="L314" s="241">
        <f t="shared" si="69"/>
        <v>2</v>
      </c>
      <c r="M314" s="241">
        <f t="shared" si="69"/>
        <v>71.904</v>
      </c>
      <c r="N314" s="241">
        <f t="shared" si="69"/>
        <v>15280</v>
      </c>
      <c r="O314" s="241">
        <f t="shared" si="69"/>
        <v>63.344</v>
      </c>
      <c r="P314" s="241">
        <f t="shared" si="69"/>
        <v>13461</v>
      </c>
      <c r="Q314" s="241" t="str">
        <f t="shared" si="69"/>
        <v>CPS II ND HALF</v>
      </c>
      <c r="R314" s="241">
        <f t="shared" si="69"/>
        <v>0</v>
      </c>
      <c r="S314" s="241">
        <f t="shared" si="69"/>
        <v>0</v>
      </c>
      <c r="T314" s="241">
        <f t="shared" si="69"/>
        <v>0</v>
      </c>
      <c r="U314" s="241">
        <f t="shared" si="69"/>
        <v>0</v>
      </c>
      <c r="V314" s="241">
        <f t="shared" si="69"/>
        <v>16553</v>
      </c>
      <c r="W314" s="241">
        <f t="shared" si="69"/>
        <v>0</v>
      </c>
      <c r="X314" s="241">
        <f t="shared" si="69"/>
        <v>12</v>
      </c>
      <c r="Y314" s="241">
        <f t="shared" si="69"/>
        <v>2550</v>
      </c>
      <c r="Z314" s="241">
        <f t="shared" si="69"/>
        <v>0</v>
      </c>
      <c r="AA314" s="241">
        <f t="shared" si="69"/>
        <v>2</v>
      </c>
      <c r="AB314" s="241" t="str">
        <f t="shared" si="69"/>
        <v> </v>
      </c>
      <c r="AC314" s="241">
        <f t="shared" si="69"/>
        <v>0</v>
      </c>
      <c r="AD314" s="241">
        <f t="shared" si="69"/>
        <v>0</v>
      </c>
      <c r="AE314" s="241">
        <f t="shared" si="56"/>
        <v>0</v>
      </c>
    </row>
    <row r="334" spans="8:9" ht="15">
      <c r="H334" s="241" t="s">
        <v>149</v>
      </c>
      <c r="I334" s="241">
        <f>$F$47</f>
        <v>1</v>
      </c>
    </row>
    <row r="335" spans="3:4" ht="15">
      <c r="C335" s="241">
        <f>$AB$104</f>
        <v>1</v>
      </c>
      <c r="D335" s="241" t="s">
        <v>422</v>
      </c>
    </row>
    <row r="337" spans="3:10" ht="15">
      <c r="C337" s="241">
        <f aca="true" t="shared" si="70" ref="C337:C350">$C$335</f>
        <v>1</v>
      </c>
      <c r="D337" s="241">
        <f>IF(C337=1,"",D301)</f>
      </c>
      <c r="G337" s="241">
        <f aca="true" t="shared" si="71" ref="G337:G367">$I$334</f>
        <v>1</v>
      </c>
      <c r="H337" s="245">
        <f>IF(G337=1,"",L1)</f>
      </c>
      <c r="I337" s="241">
        <f>$I$334</f>
        <v>1</v>
      </c>
      <c r="J337" s="368"/>
    </row>
    <row r="338" spans="3:10" ht="15">
      <c r="C338" s="241">
        <f t="shared" si="70"/>
        <v>1</v>
      </c>
      <c r="D338" s="241">
        <f aca="true" t="shared" si="72" ref="D338:D350">IF(C338=1,"",D302)</f>
      </c>
      <c r="G338" s="241">
        <f t="shared" si="71"/>
        <v>1</v>
      </c>
      <c r="H338" s="245">
        <f>IF(G338=1,"",L2)</f>
      </c>
      <c r="I338" s="241">
        <f aca="true" t="shared" si="73" ref="I338:I350">$I$334</f>
        <v>1</v>
      </c>
      <c r="J338" s="368"/>
    </row>
    <row r="339" spans="3:10" ht="15">
      <c r="C339" s="241">
        <f t="shared" si="70"/>
        <v>1</v>
      </c>
      <c r="D339" s="241">
        <f t="shared" si="72"/>
      </c>
      <c r="G339" s="241">
        <f t="shared" si="71"/>
        <v>1</v>
      </c>
      <c r="H339" s="245">
        <f aca="true" t="shared" si="74" ref="H339:H367">IF(G339=1,"",L3)</f>
      </c>
      <c r="I339" s="241">
        <f t="shared" si="73"/>
        <v>1</v>
      </c>
      <c r="J339" s="241">
        <f aca="true" t="shared" si="75" ref="J339:J350">IF(I339=1,"",E93)</f>
      </c>
    </row>
    <row r="340" spans="3:10" ht="15">
      <c r="C340" s="241">
        <f t="shared" si="70"/>
        <v>1</v>
      </c>
      <c r="D340" s="241">
        <f t="shared" si="72"/>
      </c>
      <c r="G340" s="241">
        <f t="shared" si="71"/>
        <v>1</v>
      </c>
      <c r="H340" s="245">
        <f t="shared" si="74"/>
      </c>
      <c r="I340" s="241">
        <f t="shared" si="73"/>
        <v>1</v>
      </c>
      <c r="J340" s="241">
        <f t="shared" si="75"/>
      </c>
    </row>
    <row r="341" spans="3:10" ht="15">
      <c r="C341" s="241">
        <f t="shared" si="70"/>
        <v>1</v>
      </c>
      <c r="D341" s="241">
        <f t="shared" si="72"/>
      </c>
      <c r="G341" s="241">
        <f t="shared" si="71"/>
        <v>1</v>
      </c>
      <c r="H341" s="245">
        <f t="shared" si="74"/>
      </c>
      <c r="I341" s="241">
        <f t="shared" si="73"/>
        <v>1</v>
      </c>
      <c r="J341" s="241">
        <f t="shared" si="75"/>
      </c>
    </row>
    <row r="342" spans="3:10" ht="15">
      <c r="C342" s="241">
        <f t="shared" si="70"/>
        <v>1</v>
      </c>
      <c r="D342" s="241">
        <f t="shared" si="72"/>
      </c>
      <c r="G342" s="241">
        <f t="shared" si="71"/>
        <v>1</v>
      </c>
      <c r="H342" s="245">
        <f t="shared" si="74"/>
      </c>
      <c r="I342" s="241">
        <f t="shared" si="73"/>
        <v>1</v>
      </c>
      <c r="J342" s="241">
        <f t="shared" si="75"/>
      </c>
    </row>
    <row r="343" spans="3:10" ht="15">
      <c r="C343" s="241">
        <f t="shared" si="70"/>
        <v>1</v>
      </c>
      <c r="D343" s="241">
        <f t="shared" si="72"/>
      </c>
      <c r="G343" s="241">
        <f t="shared" si="71"/>
        <v>1</v>
      </c>
      <c r="H343" s="245">
        <f t="shared" si="74"/>
      </c>
      <c r="I343" s="241">
        <f t="shared" si="73"/>
        <v>1</v>
      </c>
      <c r="J343" s="241">
        <f t="shared" si="75"/>
      </c>
    </row>
    <row r="344" spans="3:10" ht="15">
      <c r="C344" s="241">
        <f t="shared" si="70"/>
        <v>1</v>
      </c>
      <c r="D344" s="241">
        <f t="shared" si="72"/>
      </c>
      <c r="G344" s="241">
        <f t="shared" si="71"/>
        <v>1</v>
      </c>
      <c r="H344" s="245">
        <f t="shared" si="74"/>
      </c>
      <c r="I344" s="241">
        <f t="shared" si="73"/>
        <v>1</v>
      </c>
      <c r="J344" s="241">
        <f t="shared" si="75"/>
      </c>
    </row>
    <row r="345" spans="3:10" ht="15">
      <c r="C345" s="241">
        <f t="shared" si="70"/>
        <v>1</v>
      </c>
      <c r="D345" s="241">
        <f t="shared" si="72"/>
      </c>
      <c r="G345" s="241">
        <f t="shared" si="71"/>
        <v>1</v>
      </c>
      <c r="H345" s="245">
        <f t="shared" si="74"/>
      </c>
      <c r="I345" s="241">
        <f t="shared" si="73"/>
        <v>1</v>
      </c>
      <c r="J345" s="241">
        <f t="shared" si="75"/>
      </c>
    </row>
    <row r="346" spans="3:10" ht="15">
      <c r="C346" s="241">
        <f t="shared" si="70"/>
        <v>1</v>
      </c>
      <c r="D346" s="241">
        <f t="shared" si="72"/>
      </c>
      <c r="G346" s="241">
        <f t="shared" si="71"/>
        <v>1</v>
      </c>
      <c r="H346" s="245">
        <f t="shared" si="74"/>
      </c>
      <c r="I346" s="241">
        <f t="shared" si="73"/>
        <v>1</v>
      </c>
      <c r="J346" s="241">
        <f t="shared" si="75"/>
      </c>
    </row>
    <row r="347" spans="3:10" ht="15">
      <c r="C347" s="241">
        <f t="shared" si="70"/>
        <v>1</v>
      </c>
      <c r="D347" s="241">
        <f t="shared" si="72"/>
      </c>
      <c r="G347" s="241">
        <f t="shared" si="71"/>
        <v>1</v>
      </c>
      <c r="H347" s="245">
        <f t="shared" si="74"/>
      </c>
      <c r="I347" s="241">
        <f t="shared" si="73"/>
        <v>1</v>
      </c>
      <c r="J347" s="241">
        <f t="shared" si="75"/>
      </c>
    </row>
    <row r="348" spans="3:10" ht="15">
      <c r="C348" s="241">
        <f t="shared" si="70"/>
        <v>1</v>
      </c>
      <c r="D348" s="241">
        <f t="shared" si="72"/>
      </c>
      <c r="G348" s="241">
        <f t="shared" si="71"/>
        <v>1</v>
      </c>
      <c r="H348" s="245">
        <f t="shared" si="74"/>
      </c>
      <c r="I348" s="241">
        <f t="shared" si="73"/>
        <v>1</v>
      </c>
      <c r="J348" s="241">
        <f t="shared" si="75"/>
      </c>
    </row>
    <row r="349" spans="3:10" ht="15">
      <c r="C349" s="241">
        <f t="shared" si="70"/>
        <v>1</v>
      </c>
      <c r="D349" s="241">
        <f t="shared" si="72"/>
      </c>
      <c r="G349" s="241">
        <f t="shared" si="71"/>
        <v>1</v>
      </c>
      <c r="H349" s="245">
        <f t="shared" si="74"/>
      </c>
      <c r="I349" s="241">
        <f t="shared" si="73"/>
        <v>1</v>
      </c>
      <c r="J349" s="241">
        <f t="shared" si="75"/>
      </c>
    </row>
    <row r="350" spans="3:10" ht="15">
      <c r="C350" s="241">
        <f t="shared" si="70"/>
        <v>1</v>
      </c>
      <c r="D350" s="241">
        <f t="shared" si="72"/>
      </c>
      <c r="G350" s="241">
        <f t="shared" si="71"/>
        <v>1</v>
      </c>
      <c r="H350" s="245">
        <f t="shared" si="74"/>
      </c>
      <c r="I350" s="241">
        <f t="shared" si="73"/>
        <v>1</v>
      </c>
      <c r="J350" s="241">
        <f t="shared" si="75"/>
      </c>
    </row>
    <row r="351" spans="7:8" ht="15">
      <c r="G351" s="241">
        <f t="shared" si="71"/>
        <v>1</v>
      </c>
      <c r="H351" s="245">
        <f t="shared" si="74"/>
      </c>
    </row>
    <row r="352" spans="7:8" ht="15">
      <c r="G352" s="241">
        <f t="shared" si="71"/>
        <v>1</v>
      </c>
      <c r="H352" s="245">
        <f t="shared" si="74"/>
      </c>
    </row>
    <row r="353" spans="7:8" ht="15">
      <c r="G353" s="241">
        <f t="shared" si="71"/>
        <v>1</v>
      </c>
      <c r="H353" s="245">
        <f t="shared" si="74"/>
      </c>
    </row>
    <row r="354" spans="7:8" ht="15">
      <c r="G354" s="241">
        <f t="shared" si="71"/>
        <v>1</v>
      </c>
      <c r="H354" s="245">
        <f t="shared" si="74"/>
      </c>
    </row>
    <row r="355" spans="7:8" ht="15">
      <c r="G355" s="241">
        <f t="shared" si="71"/>
        <v>1</v>
      </c>
      <c r="H355" s="245">
        <f t="shared" si="74"/>
      </c>
    </row>
    <row r="356" spans="7:8" ht="15">
      <c r="G356" s="241">
        <f t="shared" si="71"/>
        <v>1</v>
      </c>
      <c r="H356" s="245">
        <f t="shared" si="74"/>
      </c>
    </row>
    <row r="357" spans="7:8" ht="15">
      <c r="G357" s="241">
        <f t="shared" si="71"/>
        <v>1</v>
      </c>
      <c r="H357" s="245">
        <f t="shared" si="74"/>
      </c>
    </row>
    <row r="358" spans="7:8" ht="15">
      <c r="G358" s="241">
        <f t="shared" si="71"/>
        <v>1</v>
      </c>
      <c r="H358" s="245">
        <f t="shared" si="74"/>
      </c>
    </row>
    <row r="359" spans="7:8" ht="15">
      <c r="G359" s="241">
        <f t="shared" si="71"/>
        <v>1</v>
      </c>
      <c r="H359" s="245">
        <f t="shared" si="74"/>
      </c>
    </row>
    <row r="360" spans="7:8" ht="15">
      <c r="G360" s="241">
        <f t="shared" si="71"/>
        <v>1</v>
      </c>
      <c r="H360" s="245">
        <f t="shared" si="74"/>
      </c>
    </row>
    <row r="361" spans="7:8" ht="15">
      <c r="G361" s="241">
        <f t="shared" si="71"/>
        <v>1</v>
      </c>
      <c r="H361" s="245">
        <f t="shared" si="74"/>
      </c>
    </row>
    <row r="362" spans="7:8" ht="15">
      <c r="G362" s="241">
        <f t="shared" si="71"/>
        <v>1</v>
      </c>
      <c r="H362" s="245">
        <f t="shared" si="74"/>
      </c>
    </row>
    <row r="363" spans="7:8" ht="15">
      <c r="G363" s="241">
        <f t="shared" si="71"/>
        <v>1</v>
      </c>
      <c r="H363" s="245">
        <f t="shared" si="74"/>
      </c>
    </row>
    <row r="364" spans="7:8" ht="15">
      <c r="G364" s="241">
        <f t="shared" si="71"/>
        <v>1</v>
      </c>
      <c r="H364" s="245">
        <f t="shared" si="74"/>
      </c>
    </row>
    <row r="365" spans="7:8" ht="15">
      <c r="G365" s="241">
        <f t="shared" si="71"/>
        <v>1</v>
      </c>
      <c r="H365" s="245">
        <f t="shared" si="74"/>
      </c>
    </row>
    <row r="366" spans="7:8" ht="15">
      <c r="G366" s="241">
        <f t="shared" si="71"/>
        <v>1</v>
      </c>
      <c r="H366" s="245">
        <f t="shared" si="74"/>
      </c>
    </row>
    <row r="367" spans="7:8" ht="15">
      <c r="G367" s="241">
        <f t="shared" si="71"/>
        <v>1</v>
      </c>
      <c r="H367" s="245">
        <f t="shared" si="74"/>
      </c>
    </row>
  </sheetData>
  <sheetProtection sheet="1" formatCells="0" sort="0"/>
  <mergeCells count="4">
    <mergeCell ref="Y130:Z130"/>
    <mergeCell ref="S133:T133"/>
    <mergeCell ref="AB136:AC136"/>
    <mergeCell ref="H166:M166"/>
  </mergeCells>
  <printOptions/>
  <pageMargins left="0.75" right="0.75" top="1" bottom="1" header="0.5118055555555555" footer="0.5118055555555555"/>
  <pageSetup horizontalDpi="300" verticalDpi="300" orientation="portrait"/>
  <legacyDrawing r:id="rId1"/>
</worksheet>
</file>

<file path=xl/worksheets/sheet5.xml><?xml version="1.0" encoding="utf-8"?>
<worksheet xmlns="http://schemas.openxmlformats.org/spreadsheetml/2006/main" xmlns:r="http://schemas.openxmlformats.org/officeDocument/2006/relationships">
  <sheetPr>
    <tabColor indexed="29"/>
  </sheetPr>
  <dimension ref="A1:AI29"/>
  <sheetViews>
    <sheetView showGridLines="0" zoomScale="90" zoomScaleNormal="90" zoomScaleSheetLayoutView="80" zoomScalePageLayoutView="0" workbookViewId="0" topLeftCell="A1">
      <pane xSplit="2" ySplit="3" topLeftCell="C4" activePane="bottomRight" state="frozen"/>
      <selection pane="topLeft" activeCell="A1" sqref="A1"/>
      <selection pane="topRight" activeCell="C1" sqref="C1"/>
      <selection pane="bottomLeft" activeCell="A27" sqref="A27"/>
      <selection pane="bottomRight" activeCell="A29" sqref="A29:Z29"/>
    </sheetView>
  </sheetViews>
  <sheetFormatPr defaultColWidth="9.140625" defaultRowHeight="15"/>
  <cols>
    <col min="1" max="1" width="3.8515625" style="369" customWidth="1"/>
    <col min="2" max="2" width="10.28125" style="369" customWidth="1"/>
    <col min="3" max="3" width="7.28125" style="370" customWidth="1"/>
    <col min="4" max="4" width="6.421875" style="370" customWidth="1"/>
    <col min="5" max="5" width="7.57421875" style="370" customWidth="1"/>
    <col min="6" max="6" width="8.00390625" style="370" customWidth="1"/>
    <col min="7" max="7" width="8.28125" style="370" customWidth="1"/>
    <col min="8" max="8" width="6.00390625" style="370" customWidth="1"/>
    <col min="9" max="9" width="6.421875" style="370" customWidth="1"/>
    <col min="10" max="10" width="5.8515625" style="370" customWidth="1"/>
    <col min="11" max="11" width="6.140625" style="370" customWidth="1"/>
    <col min="12" max="12" width="5.57421875" style="370" customWidth="1"/>
    <col min="13" max="13" width="8.140625" style="370" customWidth="1"/>
    <col min="14" max="14" width="6.8515625" style="370" customWidth="1"/>
    <col min="15" max="15" width="6.57421875" style="370" customWidth="1"/>
    <col min="16" max="17" width="5.421875" style="370" customWidth="1"/>
    <col min="18" max="18" width="5.8515625" style="370" customWidth="1"/>
    <col min="19" max="19" width="5.28125" style="370" customWidth="1"/>
    <col min="20" max="20" width="6.421875" style="370" customWidth="1"/>
    <col min="21" max="21" width="6.140625" style="370" customWidth="1"/>
    <col min="22" max="22" width="7.8515625" style="370" customWidth="1"/>
    <col min="23" max="23" width="7.7109375" style="370" customWidth="1"/>
    <col min="24" max="24" width="6.7109375" style="94" customWidth="1"/>
    <col min="25" max="25" width="4.8515625" style="369" customWidth="1"/>
    <col min="26" max="26" width="4.7109375" style="94" customWidth="1"/>
    <col min="27" max="27" width="5.57421875" style="371" customWidth="1"/>
    <col min="28" max="30" width="9.140625" style="371" customWidth="1"/>
    <col min="31" max="31" width="6.28125" style="371" customWidth="1"/>
    <col min="32" max="32" width="4.28125" style="371" customWidth="1"/>
    <col min="33" max="33" width="9.140625" style="371" customWidth="1"/>
    <col min="34" max="34" width="9.140625" style="369" customWidth="1"/>
    <col min="35" max="35" width="8.421875" style="369" customWidth="1"/>
    <col min="36" max="16384" width="9.140625" style="369" customWidth="1"/>
  </cols>
  <sheetData>
    <row r="1" spans="1:26" ht="18" customHeight="1">
      <c r="A1" s="979" t="str">
        <f>'it pro'!A3</f>
        <v> Statement Showing the Salary Particulars of : Sri. G.NAGENDRA KUMAR  SA , MPUPS,, Mandal : NANDYAL</v>
      </c>
      <c r="B1" s="979"/>
      <c r="C1" s="979"/>
      <c r="D1" s="979"/>
      <c r="E1" s="979"/>
      <c r="F1" s="979"/>
      <c r="G1" s="979"/>
      <c r="H1" s="979"/>
      <c r="I1" s="979"/>
      <c r="J1" s="979"/>
      <c r="K1" s="979"/>
      <c r="L1" s="979"/>
      <c r="M1" s="979"/>
      <c r="N1" s="979"/>
      <c r="O1" s="979"/>
      <c r="P1" s="979"/>
      <c r="Q1" s="979"/>
      <c r="R1" s="979"/>
      <c r="S1" s="979"/>
      <c r="T1" s="979"/>
      <c r="U1" s="979"/>
      <c r="V1" s="979"/>
      <c r="W1" s="979"/>
      <c r="X1" s="980" t="s">
        <v>423</v>
      </c>
      <c r="Y1" s="980" t="s">
        <v>424</v>
      </c>
      <c r="Z1" s="981" t="s">
        <v>425</v>
      </c>
    </row>
    <row r="2" spans="1:26" ht="6.75" customHeight="1" hidden="1">
      <c r="A2" s="372"/>
      <c r="B2" s="373"/>
      <c r="C2" s="374"/>
      <c r="D2" s="374"/>
      <c r="E2" s="374"/>
      <c r="F2" s="374"/>
      <c r="G2" s="374"/>
      <c r="H2" s="374"/>
      <c r="I2" s="374"/>
      <c r="J2" s="374"/>
      <c r="K2" s="374"/>
      <c r="L2" s="374"/>
      <c r="M2" s="374"/>
      <c r="N2" s="374"/>
      <c r="O2" s="374"/>
      <c r="P2" s="374"/>
      <c r="Q2" s="374"/>
      <c r="R2" s="374"/>
      <c r="S2" s="374"/>
      <c r="T2" s="374"/>
      <c r="U2" s="374"/>
      <c r="V2" s="374"/>
      <c r="W2" s="374"/>
      <c r="X2" s="980"/>
      <c r="Y2" s="980"/>
      <c r="Z2" s="981"/>
    </row>
    <row r="3" spans="1:33" s="381" customFormat="1" ht="39" customHeight="1">
      <c r="A3" s="375" t="s">
        <v>426</v>
      </c>
      <c r="B3" s="376" t="s">
        <v>427</v>
      </c>
      <c r="C3" s="377" t="s">
        <v>428</v>
      </c>
      <c r="D3" s="378" t="s">
        <v>429</v>
      </c>
      <c r="E3" s="378" t="s">
        <v>412</v>
      </c>
      <c r="F3" s="378" t="s">
        <v>149</v>
      </c>
      <c r="G3" s="378" t="s">
        <v>360</v>
      </c>
      <c r="H3" s="378" t="s">
        <v>430</v>
      </c>
      <c r="I3" s="378" t="s">
        <v>97</v>
      </c>
      <c r="J3" s="378" t="s">
        <v>211</v>
      </c>
      <c r="K3" s="378" t="s">
        <v>315</v>
      </c>
      <c r="L3" s="378" t="s">
        <v>431</v>
      </c>
      <c r="M3" s="378" t="s">
        <v>432</v>
      </c>
      <c r="N3" s="378" t="str">
        <f>'it pro'!P34</f>
        <v>ZP GPF</v>
      </c>
      <c r="O3" s="378" t="s">
        <v>433</v>
      </c>
      <c r="P3" s="378" t="s">
        <v>434</v>
      </c>
      <c r="Q3" s="378" t="s">
        <v>363</v>
      </c>
      <c r="R3" s="378" t="s">
        <v>215</v>
      </c>
      <c r="S3" s="378" t="s">
        <v>435</v>
      </c>
      <c r="T3" s="379" t="s">
        <v>436</v>
      </c>
      <c r="U3" s="378" t="s">
        <v>437</v>
      </c>
      <c r="V3" s="378" t="s">
        <v>438</v>
      </c>
      <c r="W3" s="378" t="s">
        <v>216</v>
      </c>
      <c r="X3" s="980"/>
      <c r="Y3" s="980"/>
      <c r="Z3" s="981"/>
      <c r="AA3" s="380"/>
      <c r="AB3" s="380"/>
      <c r="AC3" s="380"/>
      <c r="AD3" s="380"/>
      <c r="AE3" s="380"/>
      <c r="AF3" s="380"/>
      <c r="AG3" s="380"/>
    </row>
    <row r="4" spans="1:27" ht="24.75" customHeight="1">
      <c r="A4" s="382">
        <v>1</v>
      </c>
      <c r="B4" s="383" t="str">
        <f>'it pro'!J93</f>
        <v>Mar-2014</v>
      </c>
      <c r="C4" s="384">
        <f>'it pro'!L93</f>
        <v>20680</v>
      </c>
      <c r="D4" s="384">
        <f>'it data'!$H$9</f>
        <v>0</v>
      </c>
      <c r="E4" s="384">
        <f>'it pro'!V115</f>
        <v>13100</v>
      </c>
      <c r="F4" s="384">
        <f>'it pro'!Y115</f>
        <v>2482</v>
      </c>
      <c r="G4" s="384">
        <f>ROUND(C4*27%,0)</f>
        <v>5584</v>
      </c>
      <c r="H4" s="384">
        <f>'it pro'!P93</f>
        <v>0</v>
      </c>
      <c r="I4" s="384">
        <f>'it data'!$H$10</f>
        <v>0</v>
      </c>
      <c r="J4" s="384">
        <f>'it pro'!O93</f>
        <v>0</v>
      </c>
      <c r="K4" s="384">
        <f>'it pro'!N93</f>
        <v>0</v>
      </c>
      <c r="L4" s="385">
        <f>'it pro'!Q93</f>
        <v>0</v>
      </c>
      <c r="M4" s="384">
        <f>SUM(C4:L4)</f>
        <v>41846</v>
      </c>
      <c r="N4" s="384" t="str">
        <f>'it pro'!AB115</f>
        <v> </v>
      </c>
      <c r="O4" s="384" t="str">
        <f>'it pro'!T93</f>
        <v> </v>
      </c>
      <c r="P4" s="384" t="str">
        <f>'it pro'!U93</f>
        <v> </v>
      </c>
      <c r="Q4" s="384">
        <f>'it pro'!R93</f>
        <v>0</v>
      </c>
      <c r="R4" s="386">
        <f>IF('it pro'!L49=1,'it pro'!N49,IF(M4&gt;20000,200,IF(M4&gt;15000,150,IF(M4&gt;10000,100,IF(M4&gt;6000,80,IF(M4&gt;5000,60,0))))))</f>
        <v>200</v>
      </c>
      <c r="S4" s="384" t="str">
        <f>'it pro'!V93</f>
        <v> </v>
      </c>
      <c r="T4" s="384">
        <f>'it pro'!Z93</f>
        <v>20</v>
      </c>
      <c r="U4" s="384">
        <f>'it data'!E25</f>
        <v>0</v>
      </c>
      <c r="V4" s="384">
        <f>SUM(N4:U4)</f>
        <v>220</v>
      </c>
      <c r="W4" s="384">
        <f>SUM(M4-V4)</f>
        <v>41626</v>
      </c>
      <c r="X4" s="387">
        <f>'it pro'!G115</f>
        <v>63.344</v>
      </c>
      <c r="Y4" s="388">
        <f>'it pro'!I93</f>
        <v>12</v>
      </c>
      <c r="Z4" s="389">
        <f>'it pro'!W93</f>
      </c>
      <c r="AA4" s="390">
        <v>1</v>
      </c>
    </row>
    <row r="5" spans="1:27" ht="23.25" customHeight="1">
      <c r="A5" s="382">
        <v>2</v>
      </c>
      <c r="B5" s="383" t="str">
        <f>'it pro'!J94</f>
        <v>Apr-2014</v>
      </c>
      <c r="C5" s="384">
        <f>'it pro'!L94</f>
        <v>20680</v>
      </c>
      <c r="D5" s="384">
        <f>'it data'!$H$9</f>
        <v>0</v>
      </c>
      <c r="E5" s="384">
        <f>'it pro'!V116</f>
        <v>13100</v>
      </c>
      <c r="F5" s="384">
        <f>'it pro'!Y116</f>
        <v>2482</v>
      </c>
      <c r="G5" s="384">
        <f>ROUND(C5*27%,0)</f>
        <v>5584</v>
      </c>
      <c r="H5" s="384">
        <f>'it pro'!P94</f>
        <v>0</v>
      </c>
      <c r="I5" s="384">
        <f>'it data'!$H$10</f>
        <v>0</v>
      </c>
      <c r="J5" s="384">
        <f>'it pro'!O94</f>
        <v>0</v>
      </c>
      <c r="K5" s="384">
        <f>'it pro'!N94</f>
        <v>0</v>
      </c>
      <c r="L5" s="385">
        <f>'it pro'!Q94</f>
        <v>0</v>
      </c>
      <c r="M5" s="384">
        <f aca="true" t="shared" si="0" ref="M5:M15">SUM(C5:L5)</f>
        <v>41846</v>
      </c>
      <c r="N5" s="384" t="str">
        <f>'it pro'!AB116</f>
        <v> </v>
      </c>
      <c r="O5" s="384" t="str">
        <f>'it pro'!T94</f>
        <v> </v>
      </c>
      <c r="P5" s="384" t="str">
        <f>'it pro'!U94</f>
        <v> </v>
      </c>
      <c r="Q5" s="384">
        <f>'it pro'!R94</f>
        <v>0</v>
      </c>
      <c r="R5" s="386">
        <f>IF('it pro'!L49=1,'it pro'!N49,IF(M5&gt;20000,200,IF(M5&gt;15000,150,IF(M5&gt;10000,100,IF(M5&gt;6000,80,IF(M5&gt;5000,60,0))))))</f>
        <v>200</v>
      </c>
      <c r="S5" s="384" t="str">
        <f>'it pro'!V94</f>
        <v> </v>
      </c>
      <c r="T5" s="384">
        <f>'it pro'!Z94</f>
        <v>0</v>
      </c>
      <c r="U5" s="384">
        <f>'it data'!E26</f>
        <v>0</v>
      </c>
      <c r="V5" s="384">
        <f aca="true" t="shared" si="1" ref="V5:V15">SUM(N5:U5)</f>
        <v>200</v>
      </c>
      <c r="W5" s="384">
        <f aca="true" t="shared" si="2" ref="W5:W16">SUM(M5-V5)</f>
        <v>41646</v>
      </c>
      <c r="X5" s="387">
        <f>'it pro'!G116</f>
        <v>63.344</v>
      </c>
      <c r="Y5" s="388">
        <f>'it pro'!I94</f>
        <v>12</v>
      </c>
      <c r="Z5" s="389">
        <f>'it pro'!W94</f>
      </c>
      <c r="AA5" s="390">
        <v>1</v>
      </c>
    </row>
    <row r="6" spans="1:27" ht="23.25" customHeight="1">
      <c r="A6" s="382">
        <v>3</v>
      </c>
      <c r="B6" s="383" t="str">
        <f>'it pro'!J95</f>
        <v>May-2014</v>
      </c>
      <c r="C6" s="384">
        <f>'it pro'!L95</f>
        <v>20680</v>
      </c>
      <c r="D6" s="384">
        <f>'it data'!$H$9</f>
        <v>0</v>
      </c>
      <c r="E6" s="384">
        <f>'it pro'!V117</f>
        <v>14870</v>
      </c>
      <c r="F6" s="384">
        <f>'it pro'!Y117</f>
        <v>2482</v>
      </c>
      <c r="G6" s="384">
        <f>ROUND(C6*27%,0)</f>
        <v>5584</v>
      </c>
      <c r="H6" s="384">
        <f>'it pro'!P95</f>
        <v>0</v>
      </c>
      <c r="I6" s="384">
        <f>'it data'!$H$10</f>
        <v>0</v>
      </c>
      <c r="J6" s="384">
        <f>'it pro'!O95</f>
        <v>0</v>
      </c>
      <c r="K6" s="384">
        <f>'it pro'!N95</f>
        <v>0</v>
      </c>
      <c r="L6" s="385">
        <f>'it pro'!Q95</f>
        <v>0</v>
      </c>
      <c r="M6" s="384">
        <f t="shared" si="0"/>
        <v>43616</v>
      </c>
      <c r="N6" s="384" t="str">
        <f>'it pro'!AB117</f>
        <v> </v>
      </c>
      <c r="O6" s="384" t="str">
        <f>'it pro'!T95</f>
        <v> </v>
      </c>
      <c r="P6" s="384" t="str">
        <f>'it pro'!U95</f>
        <v> </v>
      </c>
      <c r="Q6" s="384">
        <f>'it pro'!R95</f>
        <v>0</v>
      </c>
      <c r="R6" s="386">
        <f>IF('it pro'!L49=1,'it pro'!N49,IF(M6&gt;20000,200,IF(M6&gt;15000,150,IF(M6&gt;10000,100,IF(M6&gt;6000,80,IF(M6&gt;5000,60,0))))))</f>
        <v>200</v>
      </c>
      <c r="S6" s="384" t="str">
        <f>'it pro'!V95</f>
        <v> </v>
      </c>
      <c r="T6" s="384">
        <f>'it pro'!Z95</f>
        <v>0</v>
      </c>
      <c r="U6" s="384">
        <f>'it data'!E27</f>
        <v>0</v>
      </c>
      <c r="V6" s="384">
        <f t="shared" si="1"/>
        <v>200</v>
      </c>
      <c r="W6" s="384">
        <f t="shared" si="2"/>
        <v>43416</v>
      </c>
      <c r="X6" s="387">
        <f>'it pro'!G117</f>
        <v>71.904</v>
      </c>
      <c r="Y6" s="388">
        <f>'it pro'!I95</f>
        <v>12</v>
      </c>
      <c r="Z6" s="389">
        <f>'it pro'!W95</f>
      </c>
      <c r="AA6" s="390">
        <v>1</v>
      </c>
    </row>
    <row r="7" spans="1:27" ht="25.5" customHeight="1">
      <c r="A7" s="382">
        <v>4</v>
      </c>
      <c r="B7" s="383" t="str">
        <f>'it pro'!J96</f>
        <v>Jun-2014</v>
      </c>
      <c r="C7" s="384">
        <f>'it pro'!L96</f>
        <v>20680</v>
      </c>
      <c r="D7" s="384">
        <f>'it data'!$H$9</f>
        <v>0</v>
      </c>
      <c r="E7" s="384">
        <f>'it pro'!V118</f>
        <v>14870</v>
      </c>
      <c r="F7" s="384">
        <f>'it pro'!Y118</f>
        <v>2482</v>
      </c>
      <c r="G7" s="384">
        <f>ROUND(C7*27%,0)</f>
        <v>5584</v>
      </c>
      <c r="H7" s="384">
        <f>'it pro'!P96</f>
        <v>0</v>
      </c>
      <c r="I7" s="384">
        <f>'it data'!$H$10</f>
        <v>0</v>
      </c>
      <c r="J7" s="384">
        <f>'it pro'!O96</f>
        <v>0</v>
      </c>
      <c r="K7" s="384">
        <f>'it pro'!N96</f>
        <v>0</v>
      </c>
      <c r="L7" s="385">
        <f>'it pro'!Q96</f>
        <v>0</v>
      </c>
      <c r="M7" s="384">
        <f t="shared" si="0"/>
        <v>43616</v>
      </c>
      <c r="N7" s="384" t="str">
        <f>'it pro'!AB118</f>
        <v> </v>
      </c>
      <c r="O7" s="384" t="str">
        <f>'it pro'!T96</f>
        <v> </v>
      </c>
      <c r="P7" s="384" t="str">
        <f>'it pro'!U96</f>
        <v> </v>
      </c>
      <c r="Q7" s="384">
        <f>'it pro'!R96</f>
        <v>0</v>
      </c>
      <c r="R7" s="386">
        <f>IF('it pro'!L49=1,'it pro'!N49,IF(M7&gt;20000,200,IF(M7&gt;15000,150,IF(M7&gt;10000,100,IF(M7&gt;6000,80,IF(M7&gt;5000,60,0))))))</f>
        <v>200</v>
      </c>
      <c r="S7" s="384" t="str">
        <f>'it pro'!V96</f>
        <v> </v>
      </c>
      <c r="T7" s="384">
        <f>'it pro'!Z96</f>
        <v>0</v>
      </c>
      <c r="U7" s="384">
        <f>'it data'!E28</f>
        <v>0</v>
      </c>
      <c r="V7" s="384">
        <f t="shared" si="1"/>
        <v>200</v>
      </c>
      <c r="W7" s="384">
        <f t="shared" si="2"/>
        <v>43416</v>
      </c>
      <c r="X7" s="387">
        <f>'it pro'!G118</f>
        <v>71.904</v>
      </c>
      <c r="Y7" s="388">
        <f>'it pro'!I96</f>
        <v>12</v>
      </c>
      <c r="Z7" s="389">
        <f>'it pro'!W96</f>
      </c>
      <c r="AA7" s="390">
        <v>1</v>
      </c>
    </row>
    <row r="8" spans="1:27" ht="21.75" customHeight="1">
      <c r="A8" s="382">
        <v>5</v>
      </c>
      <c r="B8" s="383" t="str">
        <f>'it pro'!J97</f>
        <v>Jul-2014</v>
      </c>
      <c r="C8" s="384">
        <f>'it pro'!L97</f>
        <v>20680</v>
      </c>
      <c r="D8" s="384">
        <f>'it data'!$H$9</f>
        <v>0</v>
      </c>
      <c r="E8" s="384">
        <f>'it pro'!V119</f>
        <v>14870</v>
      </c>
      <c r="F8" s="384">
        <f>'it pro'!Y119</f>
        <v>2482</v>
      </c>
      <c r="G8" s="384">
        <f>'it pro'!AJ97</f>
        <v>5584</v>
      </c>
      <c r="H8" s="384">
        <f>'it pro'!P97</f>
        <v>0</v>
      </c>
      <c r="I8" s="384">
        <f>'it data'!$H$10</f>
        <v>0</v>
      </c>
      <c r="J8" s="384">
        <f>'it pro'!O97</f>
        <v>0</v>
      </c>
      <c r="K8" s="384">
        <f>'it pro'!N97</f>
        <v>0</v>
      </c>
      <c r="L8" s="385">
        <f>'it pro'!Q97</f>
        <v>0</v>
      </c>
      <c r="M8" s="384">
        <f t="shared" si="0"/>
        <v>43616</v>
      </c>
      <c r="N8" s="384" t="str">
        <f>'it pro'!AB119</f>
        <v> </v>
      </c>
      <c r="O8" s="384" t="str">
        <f>'it pro'!T97</f>
        <v> </v>
      </c>
      <c r="P8" s="384" t="str">
        <f>'it pro'!U97</f>
        <v> </v>
      </c>
      <c r="Q8" s="384">
        <f>'it pro'!R97</f>
        <v>0</v>
      </c>
      <c r="R8" s="386">
        <f>IF('it pro'!L49=1,'it pro'!N49,IF(M8&gt;20000,200,IF(M8&gt;15000,150,IF(M8&gt;10000,100,IF(M8&gt;6000,80,IF(M8&gt;5000,60,0))))))</f>
        <v>200</v>
      </c>
      <c r="S8" s="384" t="str">
        <f>'it pro'!V97</f>
        <v> </v>
      </c>
      <c r="T8" s="384">
        <f>'it pro'!Z97</f>
        <v>667</v>
      </c>
      <c r="U8" s="384">
        <f>'it data'!E29</f>
        <v>0</v>
      </c>
      <c r="V8" s="384">
        <f t="shared" si="1"/>
        <v>867</v>
      </c>
      <c r="W8" s="384">
        <f t="shared" si="2"/>
        <v>42749</v>
      </c>
      <c r="X8" s="387">
        <f>'it pro'!G119</f>
        <v>71.904</v>
      </c>
      <c r="Y8" s="388">
        <f>'it pro'!I97</f>
        <v>12</v>
      </c>
      <c r="Z8" s="389">
        <f>'it pro'!W97</f>
      </c>
      <c r="AA8" s="390">
        <v>1</v>
      </c>
    </row>
    <row r="9" spans="1:27" ht="21.75" customHeight="1">
      <c r="A9" s="382">
        <v>6</v>
      </c>
      <c r="B9" s="383" t="str">
        <f>'it pro'!J98</f>
        <v>Aug-2014</v>
      </c>
      <c r="C9" s="384">
        <f>'it pro'!L98</f>
        <v>20680</v>
      </c>
      <c r="D9" s="384">
        <f>'it data'!$H$9</f>
        <v>0</v>
      </c>
      <c r="E9" s="384">
        <f>'it pro'!V120</f>
        <v>14870</v>
      </c>
      <c r="F9" s="384">
        <f>'it pro'!Y120</f>
        <v>2482</v>
      </c>
      <c r="G9" s="384">
        <f>'it pro'!AJ98</f>
        <v>5584</v>
      </c>
      <c r="H9" s="384">
        <f>'it pro'!P98</f>
        <v>0</v>
      </c>
      <c r="I9" s="384">
        <f>'it data'!$H$10</f>
        <v>0</v>
      </c>
      <c r="J9" s="384">
        <f>'it pro'!O98</f>
        <v>0</v>
      </c>
      <c r="K9" s="384">
        <f>'it pro'!N98</f>
        <v>0</v>
      </c>
      <c r="L9" s="385">
        <f>'it pro'!Q98</f>
        <v>0</v>
      </c>
      <c r="M9" s="384">
        <f t="shared" si="0"/>
        <v>43616</v>
      </c>
      <c r="N9" s="384" t="str">
        <f>'it pro'!AB120</f>
        <v> </v>
      </c>
      <c r="O9" s="384" t="str">
        <f>'it pro'!T98</f>
        <v> </v>
      </c>
      <c r="P9" s="384" t="str">
        <f>'it pro'!U98</f>
        <v> </v>
      </c>
      <c r="Q9" s="384">
        <f>'it pro'!R98</f>
        <v>0</v>
      </c>
      <c r="R9" s="386">
        <f>IF('it pro'!L49=1,'it pro'!N49,IF(M9&gt;20000,200,IF(M9&gt;15000,150,IF(M9&gt;10000,100,IF(M9&gt;6000,80,IF(M9&gt;5000,60,0))))))</f>
        <v>200</v>
      </c>
      <c r="S9" s="384" t="str">
        <f>'it pro'!V98</f>
        <v> </v>
      </c>
      <c r="T9" s="384">
        <f>'it pro'!Z98</f>
        <v>0</v>
      </c>
      <c r="U9" s="384">
        <f>'it data'!E30</f>
        <v>0</v>
      </c>
      <c r="V9" s="384">
        <f t="shared" si="1"/>
        <v>200</v>
      </c>
      <c r="W9" s="384">
        <f t="shared" si="2"/>
        <v>43416</v>
      </c>
      <c r="X9" s="387">
        <f>'it pro'!G120</f>
        <v>71.904</v>
      </c>
      <c r="Y9" s="388">
        <f>'it pro'!I98</f>
        <v>12</v>
      </c>
      <c r="Z9" s="389">
        <f>'it pro'!W98</f>
      </c>
      <c r="AA9" s="390">
        <v>1</v>
      </c>
    </row>
    <row r="10" spans="1:35" ht="20.25" customHeight="1">
      <c r="A10" s="382">
        <v>7</v>
      </c>
      <c r="B10" s="383" t="str">
        <f>'it pro'!J99</f>
        <v>Sep-2014</v>
      </c>
      <c r="C10" s="384">
        <f>'it pro'!L99</f>
        <v>20680</v>
      </c>
      <c r="D10" s="384">
        <f>'it data'!$H$9</f>
        <v>0</v>
      </c>
      <c r="E10" s="384">
        <f>'it pro'!V121</f>
        <v>14870</v>
      </c>
      <c r="F10" s="384">
        <f>'it pro'!Y121</f>
        <v>2482</v>
      </c>
      <c r="G10" s="384">
        <f>'it pro'!AJ99</f>
        <v>5584</v>
      </c>
      <c r="H10" s="384">
        <f>'it pro'!P99</f>
        <v>0</v>
      </c>
      <c r="I10" s="384">
        <f>'it data'!$H$10</f>
        <v>0</v>
      </c>
      <c r="J10" s="384">
        <f>'it pro'!O99</f>
        <v>0</v>
      </c>
      <c r="K10" s="384">
        <f>'it pro'!N99</f>
        <v>0</v>
      </c>
      <c r="L10" s="385">
        <f>'it pro'!Q99</f>
        <v>0</v>
      </c>
      <c r="M10" s="384">
        <f t="shared" si="0"/>
        <v>43616</v>
      </c>
      <c r="N10" s="384" t="str">
        <f>'it pro'!AB121</f>
        <v> </v>
      </c>
      <c r="O10" s="384" t="str">
        <f>'it pro'!T99</f>
        <v> </v>
      </c>
      <c r="P10" s="384" t="str">
        <f>'it pro'!U99</f>
        <v> </v>
      </c>
      <c r="Q10" s="384">
        <f>'it pro'!R99</f>
        <v>0</v>
      </c>
      <c r="R10" s="386">
        <f>IF('it pro'!L49=1,'it pro'!N49,IF(M10&gt;20000,200,IF(M10&gt;15000,150,IF(M10&gt;10000,100,IF(M10&gt;6000,80,IF(M10&gt;5000,60,0))))))</f>
        <v>200</v>
      </c>
      <c r="S10" s="384" t="str">
        <f>'it pro'!V99</f>
        <v> </v>
      </c>
      <c r="T10" s="384">
        <f>'it pro'!Z99</f>
        <v>0</v>
      </c>
      <c r="U10" s="384">
        <f>'it data'!E31</f>
        <v>0</v>
      </c>
      <c r="V10" s="384">
        <f t="shared" si="1"/>
        <v>200</v>
      </c>
      <c r="W10" s="384">
        <f t="shared" si="2"/>
        <v>43416</v>
      </c>
      <c r="X10" s="387">
        <f>'it pro'!G121</f>
        <v>71.904</v>
      </c>
      <c r="Y10" s="388">
        <f>'it pro'!I99</f>
        <v>12</v>
      </c>
      <c r="Z10" s="389">
        <f>'it pro'!W99</f>
      </c>
      <c r="AA10" s="390">
        <v>1</v>
      </c>
      <c r="AE10" s="982" t="s">
        <v>439</v>
      </c>
      <c r="AF10" s="982"/>
      <c r="AG10" s="982"/>
      <c r="AH10" s="982"/>
      <c r="AI10" s="982"/>
    </row>
    <row r="11" spans="1:35" ht="24" customHeight="1">
      <c r="A11" s="382">
        <v>8</v>
      </c>
      <c r="B11" s="383" t="str">
        <f>'it pro'!J100</f>
        <v>Oct-2014</v>
      </c>
      <c r="C11" s="384">
        <f>'it pro'!L100</f>
        <v>20680</v>
      </c>
      <c r="D11" s="384">
        <f>'it data'!$H$9</f>
        <v>0</v>
      </c>
      <c r="E11" s="384">
        <f>'it pro'!V122</f>
        <v>16109</v>
      </c>
      <c r="F11" s="384">
        <f>'it pro'!Y122</f>
        <v>2482</v>
      </c>
      <c r="G11" s="384">
        <f>'it pro'!AJ100</f>
        <v>5584</v>
      </c>
      <c r="H11" s="384">
        <f>'it pro'!P100</f>
        <v>0</v>
      </c>
      <c r="I11" s="384">
        <f>'it data'!$H$10</f>
        <v>0</v>
      </c>
      <c r="J11" s="384">
        <f>'it pro'!O100</f>
        <v>0</v>
      </c>
      <c r="K11" s="384">
        <f>'it pro'!N100</f>
        <v>0</v>
      </c>
      <c r="L11" s="385">
        <f>'it pro'!Q100</f>
        <v>0</v>
      </c>
      <c r="M11" s="384">
        <f t="shared" si="0"/>
        <v>44855</v>
      </c>
      <c r="N11" s="384" t="str">
        <f>'it pro'!AB122</f>
        <v> </v>
      </c>
      <c r="O11" s="384" t="str">
        <f>'it pro'!T100</f>
        <v> </v>
      </c>
      <c r="P11" s="384" t="str">
        <f>'it pro'!U100</f>
        <v> </v>
      </c>
      <c r="Q11" s="384">
        <f>'it pro'!R100</f>
        <v>0</v>
      </c>
      <c r="R11" s="386">
        <f>IF('it pro'!L49=1,'it pro'!N49,IF(M11&gt;20000,200,IF(M11&gt;15000,150,IF(M11&gt;10000,100,IF(M11&gt;6000,80,IF(M11&gt;5000,60,0))))))</f>
        <v>200</v>
      </c>
      <c r="S11" s="384" t="str">
        <f>'it pro'!V100</f>
        <v> </v>
      </c>
      <c r="T11" s="384">
        <f>'it pro'!Z100</f>
        <v>0</v>
      </c>
      <c r="U11" s="384">
        <f>'it data'!E32</f>
        <v>0</v>
      </c>
      <c r="V11" s="384">
        <f>SUM(N11:U11)</f>
        <v>200</v>
      </c>
      <c r="W11" s="384">
        <f t="shared" si="2"/>
        <v>44655</v>
      </c>
      <c r="X11" s="387">
        <f>'it pro'!G122</f>
        <v>77.896</v>
      </c>
      <c r="Y11" s="388">
        <f>'it pro'!I100</f>
        <v>12</v>
      </c>
      <c r="Z11" s="389">
        <f>'it pro'!W100</f>
      </c>
      <c r="AA11" s="390">
        <v>1</v>
      </c>
      <c r="AE11" s="982" t="s">
        <v>440</v>
      </c>
      <c r="AF11" s="982"/>
      <c r="AG11" s="982"/>
      <c r="AH11" s="982"/>
      <c r="AI11" s="982"/>
    </row>
    <row r="12" spans="1:35" ht="20.25" customHeight="1">
      <c r="A12" s="382">
        <v>9</v>
      </c>
      <c r="B12" s="383" t="str">
        <f>'it pro'!J101</f>
        <v>Nov-2014</v>
      </c>
      <c r="C12" s="384">
        <f>'it pro'!L101</f>
        <v>21250</v>
      </c>
      <c r="D12" s="384">
        <f>'it data'!$H$9</f>
        <v>0</v>
      </c>
      <c r="E12" s="384">
        <f>'it pro'!V123</f>
        <v>16553</v>
      </c>
      <c r="F12" s="384">
        <f>'it pro'!Y123</f>
        <v>2550</v>
      </c>
      <c r="G12" s="384">
        <f>'it pro'!AJ101</f>
        <v>5738</v>
      </c>
      <c r="H12" s="384">
        <f>'it pro'!P101</f>
        <v>0</v>
      </c>
      <c r="I12" s="384">
        <f>'it data'!$H$10</f>
        <v>0</v>
      </c>
      <c r="J12" s="384">
        <f>'it pro'!O101</f>
        <v>0</v>
      </c>
      <c r="K12" s="384">
        <f>'it pro'!N101</f>
        <v>0</v>
      </c>
      <c r="L12" s="385">
        <f>'it pro'!Q101</f>
        <v>0</v>
      </c>
      <c r="M12" s="384">
        <f t="shared" si="0"/>
        <v>46091</v>
      </c>
      <c r="N12" s="384" t="str">
        <f>'it pro'!AB123</f>
        <v> </v>
      </c>
      <c r="O12" s="384" t="str">
        <f>'it pro'!T101</f>
        <v> </v>
      </c>
      <c r="P12" s="384" t="str">
        <f>'it pro'!U101</f>
        <v> </v>
      </c>
      <c r="Q12" s="384">
        <f>'it pro'!R101</f>
        <v>90</v>
      </c>
      <c r="R12" s="386">
        <f>IF('it pro'!L49=1,'it pro'!N49,IF(M12&gt;20000,200,IF(M12&gt;15000,150,IF(M12&gt;10000,100,IF(M12&gt;6000,80,IF(M12&gt;5000,60,0))))))</f>
        <v>200</v>
      </c>
      <c r="S12" s="384">
        <f>'it pro'!V101</f>
        <v>0</v>
      </c>
      <c r="T12" s="384">
        <f>'it pro'!Z101</f>
        <v>1417</v>
      </c>
      <c r="U12" s="384">
        <f>'it data'!E33</f>
        <v>0</v>
      </c>
      <c r="V12" s="384">
        <f t="shared" si="1"/>
        <v>1707</v>
      </c>
      <c r="W12" s="384">
        <f t="shared" si="2"/>
        <v>44384</v>
      </c>
      <c r="X12" s="387">
        <f>'it pro'!G123</f>
        <v>77.896</v>
      </c>
      <c r="Y12" s="388">
        <f>'it pro'!I101</f>
        <v>12</v>
      </c>
      <c r="Z12" s="389">
        <f>'it pro'!W101</f>
      </c>
      <c r="AA12" s="390">
        <v>1</v>
      </c>
      <c r="AE12" s="982" t="s">
        <v>441</v>
      </c>
      <c r="AF12" s="982"/>
      <c r="AG12" s="982"/>
      <c r="AH12" s="982"/>
      <c r="AI12" s="982"/>
    </row>
    <row r="13" spans="1:35" ht="21" customHeight="1">
      <c r="A13" s="382">
        <v>10</v>
      </c>
      <c r="B13" s="383" t="str">
        <f>'it pro'!J102</f>
        <v>Dec-2014</v>
      </c>
      <c r="C13" s="384">
        <f>'it pro'!L102</f>
        <v>21250</v>
      </c>
      <c r="D13" s="384">
        <f>'it data'!$H$9</f>
        <v>0</v>
      </c>
      <c r="E13" s="384">
        <f>'it pro'!V124</f>
        <v>16553</v>
      </c>
      <c r="F13" s="384">
        <f>'it pro'!Y124</f>
        <v>2550</v>
      </c>
      <c r="G13" s="384">
        <f>'it pro'!AJ102</f>
        <v>5738</v>
      </c>
      <c r="H13" s="384">
        <f>'it pro'!P102</f>
        <v>0</v>
      </c>
      <c r="I13" s="384">
        <f>'it data'!$H$10</f>
        <v>0</v>
      </c>
      <c r="J13" s="384">
        <f>'it pro'!O102</f>
        <v>0</v>
      </c>
      <c r="K13" s="384">
        <f>'it pro'!N102</f>
        <v>0</v>
      </c>
      <c r="L13" s="385">
        <f>'it pro'!Q102</f>
        <v>0</v>
      </c>
      <c r="M13" s="384">
        <f t="shared" si="0"/>
        <v>46091</v>
      </c>
      <c r="N13" s="384" t="str">
        <f>'it pro'!AB124</f>
        <v> </v>
      </c>
      <c r="O13" s="384" t="str">
        <f>'it pro'!T102</f>
        <v> </v>
      </c>
      <c r="P13" s="384" t="str">
        <f>'it pro'!U102</f>
        <v> </v>
      </c>
      <c r="Q13" s="384">
        <f>'it pro'!R102</f>
        <v>90</v>
      </c>
      <c r="R13" s="386">
        <f>IF('it pro'!L49=1,'it pro'!N49,IF(M13&gt;20000,200,IF(M13&gt;15000,150,IF(M13&gt;10000,100,IF(M13&gt;6000,80,IF(M13&gt;5000,60,0))))))</f>
        <v>200</v>
      </c>
      <c r="S13" s="384">
        <f>'it pro'!V102</f>
        <v>0</v>
      </c>
      <c r="T13" s="384">
        <f>'it pro'!Z102</f>
        <v>20</v>
      </c>
      <c r="U13" s="384">
        <f>'it data'!E34</f>
        <v>0</v>
      </c>
      <c r="V13" s="384">
        <f t="shared" si="1"/>
        <v>310</v>
      </c>
      <c r="W13" s="384">
        <f t="shared" si="2"/>
        <v>45781</v>
      </c>
      <c r="X13" s="387">
        <f>'it pro'!G124</f>
        <v>77.896</v>
      </c>
      <c r="Y13" s="388">
        <f>'it pro'!I102</f>
        <v>12</v>
      </c>
      <c r="Z13" s="389">
        <f>'it pro'!W102</f>
      </c>
      <c r="AA13" s="390">
        <v>1</v>
      </c>
      <c r="AE13" s="982" t="s">
        <v>442</v>
      </c>
      <c r="AF13" s="982"/>
      <c r="AG13" s="982"/>
      <c r="AH13" s="982"/>
      <c r="AI13" s="982"/>
    </row>
    <row r="14" spans="1:35" ht="26.25" customHeight="1">
      <c r="A14" s="382">
        <v>11</v>
      </c>
      <c r="B14" s="383" t="str">
        <f>'it pro'!J103</f>
        <v>Jan-2015</v>
      </c>
      <c r="C14" s="384">
        <f>'it pro'!L103</f>
        <v>21250</v>
      </c>
      <c r="D14" s="384">
        <f>'it data'!$H$9</f>
        <v>0</v>
      </c>
      <c r="E14" s="384">
        <f>'it pro'!V125</f>
        <v>16553</v>
      </c>
      <c r="F14" s="384">
        <f>'it pro'!Y125</f>
        <v>2550</v>
      </c>
      <c r="G14" s="384">
        <f>'it pro'!AJ103</f>
        <v>5738</v>
      </c>
      <c r="H14" s="384">
        <f>'it pro'!P103</f>
        <v>0</v>
      </c>
      <c r="I14" s="384">
        <f>'it data'!$H$10</f>
        <v>0</v>
      </c>
      <c r="J14" s="384">
        <f>'it pro'!O103</f>
        <v>0</v>
      </c>
      <c r="K14" s="384">
        <f>'it pro'!N103</f>
        <v>0</v>
      </c>
      <c r="L14" s="385">
        <f>'it pro'!Q103</f>
        <v>0</v>
      </c>
      <c r="M14" s="384">
        <f t="shared" si="0"/>
        <v>46091</v>
      </c>
      <c r="N14" s="384" t="str">
        <f>'it pro'!AB125</f>
        <v> </v>
      </c>
      <c r="O14" s="384" t="str">
        <f>'it pro'!T103</f>
        <v> </v>
      </c>
      <c r="P14" s="384" t="str">
        <f>'it pro'!U103</f>
        <v> </v>
      </c>
      <c r="Q14" s="384">
        <f>'it pro'!R103</f>
        <v>90</v>
      </c>
      <c r="R14" s="386">
        <f>IF('it pro'!L49=1,'it pro'!N49,IF(M14&gt;20000,200,IF(M14&gt;15000,150,IF(M14&gt;10000,100,IF(M14&gt;6000,80,IF(M14&gt;5000,60,0))))))</f>
        <v>200</v>
      </c>
      <c r="S14" s="384">
        <f>'it pro'!V103</f>
        <v>0</v>
      </c>
      <c r="T14" s="384">
        <f>'it pro'!Z103</f>
        <v>0</v>
      </c>
      <c r="U14" s="384">
        <f>'it data'!E35</f>
        <v>0</v>
      </c>
      <c r="V14" s="384">
        <f t="shared" si="1"/>
        <v>290</v>
      </c>
      <c r="W14" s="384">
        <f t="shared" si="2"/>
        <v>45801</v>
      </c>
      <c r="X14" s="387">
        <f>'it pro'!G125</f>
        <v>77.896</v>
      </c>
      <c r="Y14" s="388">
        <f>'it pro'!I103</f>
        <v>12</v>
      </c>
      <c r="Z14" s="389">
        <f>'it pro'!W103</f>
      </c>
      <c r="AA14" s="390">
        <v>1</v>
      </c>
      <c r="AE14" s="982" t="s">
        <v>443</v>
      </c>
      <c r="AF14" s="982"/>
      <c r="AG14" s="982"/>
      <c r="AH14" s="982"/>
      <c r="AI14" s="982"/>
    </row>
    <row r="15" spans="1:27" ht="21.75" customHeight="1">
      <c r="A15" s="382">
        <v>12</v>
      </c>
      <c r="B15" s="383" t="str">
        <f>'it pro'!J104</f>
        <v>Feb-2015</v>
      </c>
      <c r="C15" s="384">
        <f>'it pro'!L104</f>
        <v>21250</v>
      </c>
      <c r="D15" s="384">
        <f>'it data'!$H$9</f>
        <v>0</v>
      </c>
      <c r="E15" s="384">
        <f>'it pro'!V126</f>
        <v>16553</v>
      </c>
      <c r="F15" s="384">
        <f>'it pro'!Y126</f>
        <v>2550</v>
      </c>
      <c r="G15" s="384">
        <f>'it pro'!AJ104</f>
        <v>5738</v>
      </c>
      <c r="H15" s="384">
        <f>'it pro'!P104</f>
        <v>0</v>
      </c>
      <c r="I15" s="384">
        <f>'it data'!$H$10</f>
        <v>0</v>
      </c>
      <c r="J15" s="384">
        <f>'it pro'!O104</f>
        <v>0</v>
      </c>
      <c r="K15" s="384">
        <f>'it pro'!N104</f>
        <v>0</v>
      </c>
      <c r="L15" s="385">
        <f>'it pro'!Q104</f>
        <v>0</v>
      </c>
      <c r="M15" s="384">
        <f t="shared" si="0"/>
        <v>46091</v>
      </c>
      <c r="N15" s="384" t="str">
        <f>'it pro'!AB126</f>
        <v> </v>
      </c>
      <c r="O15" s="384" t="str">
        <f>'it pro'!T104</f>
        <v> </v>
      </c>
      <c r="P15" s="384" t="str">
        <f>'it pro'!U104</f>
        <v> </v>
      </c>
      <c r="Q15" s="384">
        <f>'it pro'!R104</f>
        <v>90</v>
      </c>
      <c r="R15" s="386">
        <f>IF('it pro'!L49=1,'it pro'!N49,IF(M15&gt;20000,200,IF(M15&gt;15000,150,IF(M15&gt;10000,100,IF(M15&gt;6000,80,IF(M15&gt;5000,60,0))))))</f>
        <v>200</v>
      </c>
      <c r="S15" s="384">
        <f>'it pro'!V104</f>
        <v>0</v>
      </c>
      <c r="T15" s="384">
        <f>'it pro'!Z104</f>
        <v>0</v>
      </c>
      <c r="U15" s="384">
        <f>'it data'!E36</f>
        <v>0</v>
      </c>
      <c r="V15" s="384">
        <f t="shared" si="1"/>
        <v>290</v>
      </c>
      <c r="W15" s="384">
        <f t="shared" si="2"/>
        <v>45801</v>
      </c>
      <c r="X15" s="387">
        <f>'it pro'!G126</f>
        <v>77.896</v>
      </c>
      <c r="Y15" s="388">
        <f>'it pro'!I104</f>
        <v>12</v>
      </c>
      <c r="Z15" s="389">
        <f>'it pro'!W104</f>
      </c>
      <c r="AA15" s="390">
        <v>1</v>
      </c>
    </row>
    <row r="16" spans="1:27" ht="22.5" customHeight="1">
      <c r="A16" s="983" t="str">
        <f>CONCATENATE("Surrender Leave                                 ",IF('it pro'!AB104=1,"",'it pro'!AE106))</f>
        <v>Surrender Leave                                 </v>
      </c>
      <c r="B16" s="983"/>
      <c r="C16" s="384">
        <f>IF('it pro'!AC106&lt;3,0,'it pro'!AB109)</f>
        <v>0</v>
      </c>
      <c r="D16" s="384">
        <f>IF('it pro'!AC106&lt;3,0,'it pro'!AE109)</f>
        <v>0</v>
      </c>
      <c r="E16" s="384">
        <f>IF('it pro'!AC106&lt;3,0,'it pro'!AA110)</f>
        <v>0</v>
      </c>
      <c r="F16" s="384">
        <f>IF('it pro'!AC106&lt;3,0,'it pro'!AA111)</f>
        <v>0</v>
      </c>
      <c r="G16" s="384">
        <v>0</v>
      </c>
      <c r="H16" s="384"/>
      <c r="I16" s="384"/>
      <c r="J16" s="384">
        <f>IF('it pro'!AC106&lt;3,0,'it pro'!AF109)</f>
        <v>0</v>
      </c>
      <c r="K16" s="384"/>
      <c r="L16" s="384"/>
      <c r="M16" s="384">
        <f>SUM(C16:L16)</f>
        <v>0</v>
      </c>
      <c r="N16" s="384"/>
      <c r="O16" s="384"/>
      <c r="P16" s="384"/>
      <c r="Q16" s="384"/>
      <c r="R16" s="384"/>
      <c r="S16" s="384"/>
      <c r="T16" s="384"/>
      <c r="U16" s="384"/>
      <c r="V16" s="384">
        <f aca="true" t="shared" si="3" ref="V16:V23">SUM(N16:T16)</f>
        <v>0</v>
      </c>
      <c r="W16" s="384">
        <f t="shared" si="2"/>
        <v>0</v>
      </c>
      <c r="X16" s="391"/>
      <c r="Y16" s="392"/>
      <c r="Z16" s="392"/>
      <c r="AA16" s="390">
        <f aca="true" t="shared" si="4" ref="AA16:AA23">IF(OR(M16&gt;0,W16&gt;0),1,"")</f>
      </c>
    </row>
    <row r="17" spans="1:27" ht="26.25" customHeight="1">
      <c r="A17" s="984" t="str">
        <f>IF(OR(ISBLANK('it data'!U33),'it data'!U33=0),'it pro'!E77,"AAS Arrears")</f>
        <v> AAS Arrears </v>
      </c>
      <c r="B17" s="984"/>
      <c r="C17" s="393">
        <f>IF('it pro'!Q14&gt;3,'it pro'!G77,IF(OR('it data'!H39=0,ISBLANK('it data'!H39)),'it pro'!G77,'it data'!H39))</f>
        <v>0</v>
      </c>
      <c r="D17" s="393"/>
      <c r="E17" s="393">
        <f>IF('it pro'!Q14&gt;3,'it pro'!J77,IF(OR('it data'!H40=0,ISBLANK('it data'!H40)),'it pro'!J77,'it data'!H40))</f>
        <v>0</v>
      </c>
      <c r="F17" s="384">
        <f>IF('it pro'!Q14&gt;3,'it pro'!K77,IF(OR('it data'!H41=0,ISBLANK('it data'!H41)),'it pro'!K77,'it data'!H41))</f>
        <v>0</v>
      </c>
      <c r="G17" s="384">
        <f>IF(OR('it pro'!Q14=14,'it pro'!Q14=15),ROUND('ITAnnexure-I'!C17*27%,0),0)</f>
        <v>0</v>
      </c>
      <c r="H17" s="384">
        <v>0</v>
      </c>
      <c r="I17" s="384">
        <f>IF(OR('it data'!H43=0,ISBLANK('it data'!H43)),0,'it data'!H43)</f>
        <v>0</v>
      </c>
      <c r="J17" s="384">
        <f>IF(OR('it data'!H42=0,ISBLANK('it data'!H42)),0,'it data'!H42)</f>
        <v>0</v>
      </c>
      <c r="K17" s="384">
        <v>0</v>
      </c>
      <c r="L17" s="384">
        <v>0</v>
      </c>
      <c r="M17" s="384">
        <f>SUM(C17:L17)</f>
        <v>0</v>
      </c>
      <c r="N17" s="384">
        <f>IF('it pro'!Q14&gt;3,0,IF(OR('it data'!H45=0,ISBLANK('it data'!H45)),0,'it data'!H45))</f>
        <v>0</v>
      </c>
      <c r="O17" s="384"/>
      <c r="P17" s="384"/>
      <c r="Q17" s="384"/>
      <c r="R17" s="384">
        <f>IF('it pro'!Q14&gt;3,0,IF(OR('it data'!H46=0,ISBLANK('it data'!H46)),0,'it data'!H46))</f>
        <v>0</v>
      </c>
      <c r="S17" s="384"/>
      <c r="T17" s="384"/>
      <c r="U17" s="384"/>
      <c r="V17" s="384">
        <f t="shared" si="3"/>
        <v>0</v>
      </c>
      <c r="W17" s="384">
        <f aca="true" t="shared" si="5" ref="W17:W22">SUM(M17-V17)</f>
        <v>0</v>
      </c>
      <c r="X17" s="394"/>
      <c r="Y17" s="395"/>
      <c r="Z17" s="395"/>
      <c r="AA17" s="390">
        <f t="shared" si="4"/>
      </c>
    </row>
    <row r="18" spans="1:27" ht="27.75" customHeight="1">
      <c r="A18" s="984" t="str">
        <f>'it pro'!D83</f>
        <v>Promotion Arrears</v>
      </c>
      <c r="B18" s="984"/>
      <c r="C18" s="393">
        <f>'it pro'!G84</f>
        <v>0</v>
      </c>
      <c r="D18" s="393"/>
      <c r="E18" s="393">
        <f>'it pro'!J84</f>
        <v>0</v>
      </c>
      <c r="F18" s="384">
        <f>'it pro'!K84</f>
        <v>0</v>
      </c>
      <c r="G18" s="384">
        <f>IF(OR('it pro'!R16=13,'it pro'!R16=14),ROUND('ITAnnexure-I'!C18*27%,0),0)</f>
        <v>0</v>
      </c>
      <c r="H18" s="384">
        <v>0</v>
      </c>
      <c r="I18" s="384">
        <v>0</v>
      </c>
      <c r="J18" s="384">
        <v>0</v>
      </c>
      <c r="K18" s="384">
        <v>0</v>
      </c>
      <c r="L18" s="384">
        <v>0</v>
      </c>
      <c r="M18" s="384">
        <f aca="true" t="shared" si="6" ref="M18:M23">SUM(C18:L18)</f>
        <v>0</v>
      </c>
      <c r="N18" s="384">
        <v>0</v>
      </c>
      <c r="O18" s="384"/>
      <c r="P18" s="384"/>
      <c r="Q18" s="384"/>
      <c r="R18" s="384"/>
      <c r="S18" s="384"/>
      <c r="T18" s="384"/>
      <c r="U18" s="384"/>
      <c r="V18" s="384">
        <f t="shared" si="3"/>
        <v>0</v>
      </c>
      <c r="W18" s="384">
        <f t="shared" si="5"/>
        <v>0</v>
      </c>
      <c r="X18" s="394"/>
      <c r="Y18" s="395"/>
      <c r="Z18" s="395"/>
      <c r="AA18" s="390">
        <f t="shared" si="4"/>
      </c>
    </row>
    <row r="19" spans="1:27" ht="24.75" customHeight="1">
      <c r="A19" s="986" t="s">
        <v>164</v>
      </c>
      <c r="B19" s="986"/>
      <c r="C19" s="393">
        <f>'it data'!E12</f>
        <v>0</v>
      </c>
      <c r="D19" s="384">
        <v>0</v>
      </c>
      <c r="E19" s="384">
        <v>0</v>
      </c>
      <c r="F19" s="384">
        <v>0</v>
      </c>
      <c r="G19" s="384"/>
      <c r="H19" s="384">
        <v>0</v>
      </c>
      <c r="I19" s="384">
        <v>0</v>
      </c>
      <c r="J19" s="384">
        <v>0</v>
      </c>
      <c r="K19" s="384">
        <v>0</v>
      </c>
      <c r="L19" s="384">
        <v>0</v>
      </c>
      <c r="M19" s="384">
        <f t="shared" si="6"/>
        <v>0</v>
      </c>
      <c r="N19" s="384">
        <v>0</v>
      </c>
      <c r="O19" s="384"/>
      <c r="P19" s="384"/>
      <c r="Q19" s="384"/>
      <c r="R19" s="384"/>
      <c r="S19" s="384"/>
      <c r="T19" s="384"/>
      <c r="U19" s="384"/>
      <c r="V19" s="384">
        <f t="shared" si="3"/>
        <v>0</v>
      </c>
      <c r="W19" s="384">
        <f t="shared" si="5"/>
        <v>0</v>
      </c>
      <c r="X19" s="394"/>
      <c r="Y19" s="395"/>
      <c r="Z19" s="395"/>
      <c r="AA19" s="390">
        <f t="shared" si="4"/>
      </c>
    </row>
    <row r="20" spans="1:27" ht="21" customHeight="1">
      <c r="A20" s="987" t="s">
        <v>204</v>
      </c>
      <c r="B20" s="987"/>
      <c r="C20" s="393">
        <f>IF(OR('it data'!I39=0,ISBLANK('it data'!I39)),0,'it data'!I39)</f>
        <v>0</v>
      </c>
      <c r="D20" s="384"/>
      <c r="E20" s="384">
        <f>'it data'!I40</f>
        <v>0</v>
      </c>
      <c r="F20" s="384">
        <f>'it data'!I41</f>
        <v>0</v>
      </c>
      <c r="G20" s="396"/>
      <c r="H20" s="384"/>
      <c r="I20" s="384">
        <f>'it data'!I43</f>
        <v>0</v>
      </c>
      <c r="J20" s="384">
        <f>'it data'!I42</f>
        <v>0</v>
      </c>
      <c r="K20" s="384"/>
      <c r="L20" s="384"/>
      <c r="M20" s="384">
        <f t="shared" si="6"/>
        <v>0</v>
      </c>
      <c r="N20" s="384">
        <f>'it data'!I45</f>
        <v>0</v>
      </c>
      <c r="O20" s="384"/>
      <c r="P20" s="384"/>
      <c r="Q20" s="384"/>
      <c r="R20" s="384">
        <f>'it data'!I46</f>
        <v>0</v>
      </c>
      <c r="S20" s="384"/>
      <c r="T20" s="384"/>
      <c r="U20" s="384"/>
      <c r="V20" s="384">
        <f t="shared" si="3"/>
        <v>0</v>
      </c>
      <c r="W20" s="384">
        <f t="shared" si="5"/>
        <v>0</v>
      </c>
      <c r="X20" s="394"/>
      <c r="Y20" s="395"/>
      <c r="Z20" s="395"/>
      <c r="AA20" s="390">
        <f t="shared" si="4"/>
      </c>
    </row>
    <row r="21" spans="1:27" ht="18" customHeight="1">
      <c r="A21" s="987" t="str">
        <f>'it data'!K38</f>
        <v>Other  Arrears</v>
      </c>
      <c r="B21" s="987"/>
      <c r="C21" s="393">
        <f>'it data'!K39</f>
        <v>0</v>
      </c>
      <c r="D21" s="384">
        <v>0</v>
      </c>
      <c r="E21" s="384">
        <f>'it data'!K40</f>
        <v>0</v>
      </c>
      <c r="F21" s="384">
        <f>'it data'!K41</f>
        <v>0</v>
      </c>
      <c r="G21" s="396"/>
      <c r="H21" s="384">
        <v>0</v>
      </c>
      <c r="I21" s="384">
        <f>'it data'!K43</f>
        <v>0</v>
      </c>
      <c r="J21" s="384">
        <f>'it data'!K42</f>
        <v>0</v>
      </c>
      <c r="K21" s="384">
        <v>0</v>
      </c>
      <c r="L21" s="384">
        <v>0</v>
      </c>
      <c r="M21" s="384">
        <f t="shared" si="6"/>
        <v>0</v>
      </c>
      <c r="N21" s="384">
        <f>'it data'!K45</f>
        <v>0</v>
      </c>
      <c r="O21" s="384"/>
      <c r="P21" s="384"/>
      <c r="Q21" s="384"/>
      <c r="R21" s="384">
        <f>'it data'!K46</f>
        <v>0</v>
      </c>
      <c r="S21" s="384"/>
      <c r="T21" s="384"/>
      <c r="U21" s="384"/>
      <c r="V21" s="384">
        <f t="shared" si="3"/>
        <v>0</v>
      </c>
      <c r="W21" s="384">
        <f t="shared" si="5"/>
        <v>0</v>
      </c>
      <c r="X21" s="394"/>
      <c r="Y21" s="395"/>
      <c r="Z21" s="395"/>
      <c r="AA21" s="390">
        <f t="shared" si="4"/>
      </c>
    </row>
    <row r="22" spans="1:27" ht="20.25" customHeight="1">
      <c r="A22" s="988" t="str">
        <f>"DA Arrears- "&amp;('it pro'!F137)&amp;"  to "&amp;('it pro'!F140)&amp;""</f>
        <v>DA Arrears- Jan-2014  to Apr-2014</v>
      </c>
      <c r="B22" s="988"/>
      <c r="C22" s="988"/>
      <c r="D22" s="988"/>
      <c r="E22" s="384">
        <f>'it pro'!AE136</f>
        <v>7080</v>
      </c>
      <c r="F22" s="384"/>
      <c r="G22" s="396"/>
      <c r="H22" s="384"/>
      <c r="I22" s="384"/>
      <c r="J22" s="384"/>
      <c r="K22" s="384"/>
      <c r="L22" s="384"/>
      <c r="M22" s="384">
        <f t="shared" si="6"/>
        <v>7080</v>
      </c>
      <c r="N22" s="384">
        <f>'it pro'!X108</f>
        <v>7080</v>
      </c>
      <c r="O22" s="384"/>
      <c r="P22" s="384"/>
      <c r="Q22" s="384"/>
      <c r="R22" s="384"/>
      <c r="S22" s="384"/>
      <c r="T22" s="384"/>
      <c r="U22" s="384"/>
      <c r="V22" s="384">
        <f t="shared" si="3"/>
        <v>7080</v>
      </c>
      <c r="W22" s="384">
        <f t="shared" si="5"/>
        <v>0</v>
      </c>
      <c r="X22" s="394"/>
      <c r="Y22" s="395"/>
      <c r="Z22" s="395"/>
      <c r="AA22" s="390">
        <f t="shared" si="4"/>
        <v>1</v>
      </c>
    </row>
    <row r="23" spans="1:27" ht="18.75" customHeight="1">
      <c r="A23" s="988" t="str">
        <f>IF('it pro'!C136=1,"","DA Arrears -"&amp;('it pro'!F141)&amp;"  to "&amp;('it pro'!F142)&amp;"")</f>
        <v>DA Arrears -Jul-2014  to Sep-2014</v>
      </c>
      <c r="B23" s="988"/>
      <c r="C23" s="988"/>
      <c r="D23" s="988"/>
      <c r="E23" s="384">
        <f>'it pro'!U133</f>
        <v>3717</v>
      </c>
      <c r="F23" s="384"/>
      <c r="G23" s="396"/>
      <c r="H23" s="384"/>
      <c r="I23" s="384"/>
      <c r="J23" s="384"/>
      <c r="K23" s="384"/>
      <c r="L23" s="384"/>
      <c r="M23" s="384">
        <f t="shared" si="6"/>
        <v>3717</v>
      </c>
      <c r="N23" s="384">
        <f>'it pro'!X110</f>
        <v>3717</v>
      </c>
      <c r="O23" s="384"/>
      <c r="P23" s="384"/>
      <c r="Q23" s="384"/>
      <c r="R23" s="384"/>
      <c r="S23" s="384"/>
      <c r="T23" s="384"/>
      <c r="U23" s="384"/>
      <c r="V23" s="384">
        <f t="shared" si="3"/>
        <v>3717</v>
      </c>
      <c r="W23" s="384">
        <f>SUM(M23-V23)</f>
        <v>0</v>
      </c>
      <c r="X23" s="394"/>
      <c r="Y23" s="395"/>
      <c r="Z23" s="395"/>
      <c r="AA23" s="390">
        <f t="shared" si="4"/>
        <v>1</v>
      </c>
    </row>
    <row r="24" spans="1:27" ht="19.5" customHeight="1">
      <c r="A24" s="989" t="s">
        <v>444</v>
      </c>
      <c r="B24" s="989"/>
      <c r="C24" s="397">
        <f>SUM(C4:C21)</f>
        <v>250440</v>
      </c>
      <c r="D24" s="397">
        <f>SUM(D4:D21)</f>
        <v>0</v>
      </c>
      <c r="E24" s="397">
        <f aca="true" t="shared" si="7" ref="E24:W24">SUM(E4:E23)</f>
        <v>193668</v>
      </c>
      <c r="F24" s="397">
        <f t="shared" si="7"/>
        <v>30056</v>
      </c>
      <c r="G24" s="397">
        <f>SUM(G4:G23)</f>
        <v>67624</v>
      </c>
      <c r="H24" s="397">
        <f t="shared" si="7"/>
        <v>0</v>
      </c>
      <c r="I24" s="397">
        <f t="shared" si="7"/>
        <v>0</v>
      </c>
      <c r="J24" s="397">
        <f t="shared" si="7"/>
        <v>0</v>
      </c>
      <c r="K24" s="397">
        <f t="shared" si="7"/>
        <v>0</v>
      </c>
      <c r="L24" s="397">
        <f t="shared" si="7"/>
        <v>0</v>
      </c>
      <c r="M24" s="397">
        <f>SUM(M4:M23)</f>
        <v>541788</v>
      </c>
      <c r="N24" s="397">
        <f>SUM(N4:N23)</f>
        <v>10797</v>
      </c>
      <c r="O24" s="397">
        <f t="shared" si="7"/>
        <v>0</v>
      </c>
      <c r="P24" s="397">
        <f t="shared" si="7"/>
        <v>0</v>
      </c>
      <c r="Q24" s="397">
        <f t="shared" si="7"/>
        <v>360</v>
      </c>
      <c r="R24" s="397">
        <f t="shared" si="7"/>
        <v>2400</v>
      </c>
      <c r="S24" s="397">
        <f t="shared" si="7"/>
        <v>0</v>
      </c>
      <c r="T24" s="397">
        <f t="shared" si="7"/>
        <v>2124</v>
      </c>
      <c r="U24" s="397">
        <f t="shared" si="7"/>
        <v>0</v>
      </c>
      <c r="V24" s="397">
        <f>SUM(V4:V23)</f>
        <v>15681</v>
      </c>
      <c r="W24" s="397">
        <f t="shared" si="7"/>
        <v>526107</v>
      </c>
      <c r="X24" s="398"/>
      <c r="Y24" s="399"/>
      <c r="Z24" s="400"/>
      <c r="AA24" s="390">
        <v>1</v>
      </c>
    </row>
    <row r="25" spans="1:27" ht="21.75" customHeight="1">
      <c r="A25" s="401"/>
      <c r="B25" s="401"/>
      <c r="C25" s="402"/>
      <c r="D25" s="402"/>
      <c r="E25" s="402"/>
      <c r="F25" s="402"/>
      <c r="G25" s="402"/>
      <c r="H25" s="402"/>
      <c r="I25" s="402"/>
      <c r="J25" s="402"/>
      <c r="K25" s="402"/>
      <c r="L25" s="402"/>
      <c r="M25" s="402"/>
      <c r="N25" s="402"/>
      <c r="O25" s="402"/>
      <c r="P25" s="402"/>
      <c r="Q25" s="402"/>
      <c r="R25" s="402"/>
      <c r="S25" s="402"/>
      <c r="T25" s="402"/>
      <c r="U25" s="402"/>
      <c r="V25" s="403"/>
      <c r="W25" s="403"/>
      <c r="X25" s="404"/>
      <c r="Y25" s="403"/>
      <c r="Z25" s="404"/>
      <c r="AA25" s="390">
        <v>1</v>
      </c>
    </row>
    <row r="26" spans="1:27" ht="17.25" customHeight="1">
      <c r="A26" s="401"/>
      <c r="B26" s="401"/>
      <c r="C26" s="402"/>
      <c r="D26" s="402"/>
      <c r="E26" s="402"/>
      <c r="F26" s="402"/>
      <c r="G26" s="402"/>
      <c r="H26" s="402"/>
      <c r="I26" s="402"/>
      <c r="J26" s="402"/>
      <c r="K26" s="402"/>
      <c r="L26" s="402"/>
      <c r="M26" s="402"/>
      <c r="N26" s="402"/>
      <c r="O26" s="402"/>
      <c r="P26" s="402"/>
      <c r="Q26" s="402"/>
      <c r="R26" s="402"/>
      <c r="S26" s="402"/>
      <c r="T26" s="402"/>
      <c r="U26" s="402"/>
      <c r="V26" s="374"/>
      <c r="W26" s="374"/>
      <c r="X26" s="405"/>
      <c r="Y26" s="374"/>
      <c r="Z26" s="405"/>
      <c r="AA26" s="390">
        <v>1</v>
      </c>
    </row>
    <row r="27" spans="1:27" ht="15.75" customHeight="1">
      <c r="A27" s="373"/>
      <c r="B27" s="373"/>
      <c r="C27" s="374" t="s">
        <v>445</v>
      </c>
      <c r="D27" s="374"/>
      <c r="E27" s="374"/>
      <c r="F27" s="374"/>
      <c r="G27" s="374"/>
      <c r="H27" s="374"/>
      <c r="I27" s="374"/>
      <c r="J27" s="374"/>
      <c r="K27" s="374"/>
      <c r="L27" s="374"/>
      <c r="M27" s="374"/>
      <c r="N27" s="374"/>
      <c r="O27" s="374"/>
      <c r="P27" s="374"/>
      <c r="Q27" s="374"/>
      <c r="R27" s="374"/>
      <c r="S27" s="401"/>
      <c r="T27" s="373" t="s">
        <v>446</v>
      </c>
      <c r="U27" s="373"/>
      <c r="V27" s="373"/>
      <c r="W27" s="373"/>
      <c r="X27" s="405"/>
      <c r="Y27" s="374"/>
      <c r="Z27" s="405"/>
      <c r="AA27" s="390">
        <v>1</v>
      </c>
    </row>
    <row r="28" spans="1:27" ht="15">
      <c r="A28" s="406"/>
      <c r="B28" s="406"/>
      <c r="C28" s="407"/>
      <c r="D28" s="407"/>
      <c r="E28" s="407"/>
      <c r="F28" s="407"/>
      <c r="G28" s="407"/>
      <c r="H28" s="407"/>
      <c r="I28" s="407"/>
      <c r="J28" s="407"/>
      <c r="K28" s="407"/>
      <c r="L28" s="407"/>
      <c r="M28" s="407"/>
      <c r="N28" s="407"/>
      <c r="O28" s="407"/>
      <c r="P28" s="407"/>
      <c r="Q28" s="407"/>
      <c r="R28" s="407"/>
      <c r="S28" s="407"/>
      <c r="T28" s="407"/>
      <c r="U28" s="407"/>
      <c r="V28" s="407"/>
      <c r="W28" s="407"/>
      <c r="Y28" s="406"/>
      <c r="AA28" s="408"/>
    </row>
    <row r="29" spans="1:26" ht="15" customHeight="1">
      <c r="A29" s="985" t="s">
        <v>447</v>
      </c>
      <c r="B29" s="985"/>
      <c r="C29" s="985"/>
      <c r="D29" s="985"/>
      <c r="E29" s="985"/>
      <c r="F29" s="985"/>
      <c r="G29" s="985"/>
      <c r="H29" s="985"/>
      <c r="I29" s="985"/>
      <c r="J29" s="985"/>
      <c r="K29" s="985"/>
      <c r="L29" s="985"/>
      <c r="M29" s="985"/>
      <c r="N29" s="985"/>
      <c r="O29" s="985"/>
      <c r="P29" s="985"/>
      <c r="Q29" s="985"/>
      <c r="R29" s="985"/>
      <c r="S29" s="985"/>
      <c r="T29" s="985"/>
      <c r="U29" s="985"/>
      <c r="V29" s="985"/>
      <c r="W29" s="985"/>
      <c r="X29" s="985"/>
      <c r="Y29" s="985"/>
      <c r="Z29" s="985"/>
    </row>
  </sheetData>
  <sheetProtection selectLockedCells="1" selectUnlockedCells="1"/>
  <autoFilter ref="AA3:AA27"/>
  <mergeCells count="19">
    <mergeCell ref="A29:Z29"/>
    <mergeCell ref="A19:B19"/>
    <mergeCell ref="A20:B20"/>
    <mergeCell ref="A21:B21"/>
    <mergeCell ref="A22:D22"/>
    <mergeCell ref="A23:D23"/>
    <mergeCell ref="A24:B24"/>
    <mergeCell ref="AE12:AI12"/>
    <mergeCell ref="AE13:AI13"/>
    <mergeCell ref="AE14:AI14"/>
    <mergeCell ref="A16:B16"/>
    <mergeCell ref="A17:B17"/>
    <mergeCell ref="A18:B18"/>
    <mergeCell ref="A1:W1"/>
    <mergeCell ref="X1:X3"/>
    <mergeCell ref="Y1:Y3"/>
    <mergeCell ref="Z1:Z3"/>
    <mergeCell ref="AE10:AI10"/>
    <mergeCell ref="AE11:AI11"/>
  </mergeCells>
  <hyperlinks>
    <hyperlink ref="AE10" location="it data!A1" display="BACK"/>
    <hyperlink ref="AE11" location="ITAnnexure-II!A1" display="ANNE-II"/>
    <hyperlink ref="AE12" location="form 16 page 1!A1" display="FORM-16 PAGE-I"/>
    <hyperlink ref="AE13" location="form 16 page 2!A1" display="FORM-16 PAGE-11"/>
    <hyperlink ref="AE14" location="Rent receipt!A1" display="RENT RECEIPT"/>
    <hyperlink ref="A29" r:id="rId1" display="www.stuapkurnool.blogspot.com"/>
  </hyperlinks>
  <printOptions horizontalCentered="1"/>
  <pageMargins left="0.1798611111111111" right="0.14027777777777778" top="0.3298611111111111" bottom="0.2902777777777778" header="0.5118055555555555" footer="0.5118055555555555"/>
  <pageSetup horizontalDpi="300" verticalDpi="300" orientation="landscape" paperSize="9" scale="85"/>
  <drawing r:id="rId4"/>
  <legacyDrawing r:id="rId3"/>
</worksheet>
</file>

<file path=xl/worksheets/sheet6.xml><?xml version="1.0" encoding="utf-8"?>
<worksheet xmlns="http://schemas.openxmlformats.org/spreadsheetml/2006/main" xmlns:r="http://schemas.openxmlformats.org/officeDocument/2006/relationships">
  <sheetPr>
    <tabColor indexed="29"/>
  </sheetPr>
  <dimension ref="A1:R91"/>
  <sheetViews>
    <sheetView showGridLines="0" zoomScalePageLayoutView="0" workbookViewId="0" topLeftCell="E68">
      <selection activeCell="H72" sqref="H72"/>
    </sheetView>
  </sheetViews>
  <sheetFormatPr defaultColWidth="9.140625" defaultRowHeight="15"/>
  <cols>
    <col min="1" max="1" width="1.421875" style="409" customWidth="1"/>
    <col min="2" max="2" width="4.57421875" style="409" customWidth="1"/>
    <col min="3" max="3" width="4.140625" style="409" customWidth="1"/>
    <col min="4" max="4" width="5.28125" style="409" customWidth="1"/>
    <col min="5" max="5" width="5.57421875" style="409" customWidth="1"/>
    <col min="6" max="6" width="5.7109375" style="409" customWidth="1"/>
    <col min="7" max="7" width="6.421875" style="409" customWidth="1"/>
    <col min="8" max="8" width="19.57421875" style="409" customWidth="1"/>
    <col min="9" max="9" width="14.00390625" style="409" customWidth="1"/>
    <col min="10" max="10" width="4.8515625" style="410" customWidth="1"/>
    <col min="11" max="11" width="1.28515625" style="410" customWidth="1"/>
    <col min="12" max="12" width="12.57421875" style="410" customWidth="1"/>
    <col min="13" max="13" width="15.7109375" style="410" customWidth="1"/>
    <col min="14" max="14" width="4.57421875" style="409" customWidth="1"/>
    <col min="15" max="15" width="9.140625" style="409" customWidth="1"/>
    <col min="16" max="16" width="28.7109375" style="409" customWidth="1"/>
    <col min="17" max="17" width="0" style="409" hidden="1" customWidth="1"/>
    <col min="18" max="16384" width="9.140625" style="409" customWidth="1"/>
  </cols>
  <sheetData>
    <row r="1" spans="1:15" ht="7.5" customHeight="1">
      <c r="A1" s="305"/>
      <c r="B1" s="305"/>
      <c r="C1" s="305"/>
      <c r="D1" s="305"/>
      <c r="E1" s="305"/>
      <c r="F1" s="305"/>
      <c r="G1" s="305"/>
      <c r="H1" s="305"/>
      <c r="I1" s="305"/>
      <c r="J1" s="411"/>
      <c r="K1" s="411"/>
      <c r="L1" s="411"/>
      <c r="M1" s="411"/>
      <c r="O1" s="305"/>
    </row>
    <row r="2" spans="1:15" ht="16.5" customHeight="1">
      <c r="A2" s="305"/>
      <c r="B2" s="990" t="s">
        <v>448</v>
      </c>
      <c r="C2" s="990"/>
      <c r="D2" s="990"/>
      <c r="E2" s="990"/>
      <c r="F2" s="990"/>
      <c r="G2" s="991" t="s">
        <v>449</v>
      </c>
      <c r="H2" s="991"/>
      <c r="I2" s="991"/>
      <c r="J2" s="991"/>
      <c r="K2" s="991"/>
      <c r="L2" s="991"/>
      <c r="M2" s="412" t="s">
        <v>450</v>
      </c>
      <c r="N2" s="413"/>
      <c r="O2" s="305"/>
    </row>
    <row r="3" spans="1:15" ht="12.75" customHeight="1">
      <c r="A3" s="305"/>
      <c r="B3" s="992" t="str">
        <f>'it pro'!E157</f>
        <v> 2014-2015</v>
      </c>
      <c r="C3" s="992"/>
      <c r="D3" s="992"/>
      <c r="E3" s="992"/>
      <c r="F3" s="992"/>
      <c r="G3" s="993" t="s">
        <v>451</v>
      </c>
      <c r="H3" s="993"/>
      <c r="I3" s="993"/>
      <c r="J3" s="993"/>
      <c r="K3" s="993"/>
      <c r="L3" s="993"/>
      <c r="M3" s="414" t="str">
        <f>'it pro'!E158</f>
        <v> 2015-2016</v>
      </c>
      <c r="N3" s="415"/>
      <c r="O3" s="305"/>
    </row>
    <row r="4" spans="1:15" ht="15.75" customHeight="1">
      <c r="A4" s="305"/>
      <c r="B4" s="416" t="str">
        <f>CONCATENATE("Name: ",'it data'!B5," ,        ","Tresury ID:",'it data'!E6)</f>
        <v>Name: G.NAGENDRA KUMAR ,        Tresury ID:1808595</v>
      </c>
      <c r="C4" s="417"/>
      <c r="D4" s="417"/>
      <c r="E4" s="418"/>
      <c r="F4" s="419"/>
      <c r="G4" s="419"/>
      <c r="H4" s="419"/>
      <c r="I4" s="994" t="s">
        <v>452</v>
      </c>
      <c r="J4" s="994"/>
      <c r="K4" s="994"/>
      <c r="L4" s="995" t="str">
        <f>'it data'!B6</f>
        <v>MPUPS,</v>
      </c>
      <c r="M4" s="995"/>
      <c r="N4" s="420"/>
      <c r="O4" s="305"/>
    </row>
    <row r="5" spans="1:15" ht="16.5" customHeight="1">
      <c r="A5" s="305"/>
      <c r="B5" s="996" t="s">
        <v>142</v>
      </c>
      <c r="C5" s="996"/>
      <c r="D5" s="996"/>
      <c r="E5" s="997" t="str">
        <f>'it data'!E5</f>
        <v>SA </v>
      </c>
      <c r="F5" s="997"/>
      <c r="G5" s="997"/>
      <c r="H5" s="997"/>
      <c r="I5" s="998" t="s">
        <v>153</v>
      </c>
      <c r="J5" s="998"/>
      <c r="K5" s="998"/>
      <c r="L5" s="999" t="str">
        <f>'it data'!B7</f>
        <v>NANDYAL</v>
      </c>
      <c r="M5" s="999"/>
      <c r="N5" s="420"/>
      <c r="O5" s="305"/>
    </row>
    <row r="6" spans="1:15" ht="14.25" customHeight="1">
      <c r="A6" s="305"/>
      <c r="B6" s="421">
        <v>1</v>
      </c>
      <c r="C6" s="1000" t="s">
        <v>453</v>
      </c>
      <c r="D6" s="1000"/>
      <c r="E6" s="1000"/>
      <c r="F6" s="1000"/>
      <c r="G6" s="1000"/>
      <c r="H6" s="1000"/>
      <c r="I6" s="1000"/>
      <c r="J6" s="1001" t="str">
        <f>'it pro'!Q155</f>
        <v>Rented House</v>
      </c>
      <c r="K6" s="1001"/>
      <c r="L6" s="1001"/>
      <c r="M6" s="1001"/>
      <c r="N6" s="422"/>
      <c r="O6" s="305"/>
    </row>
    <row r="7" spans="1:15" ht="13.5" customHeight="1">
      <c r="A7" s="305"/>
      <c r="B7" s="421">
        <v>2</v>
      </c>
      <c r="C7" s="1002" t="s">
        <v>454</v>
      </c>
      <c r="D7" s="1002"/>
      <c r="E7" s="1002"/>
      <c r="F7" s="1002"/>
      <c r="G7" s="1002"/>
      <c r="H7" s="1002"/>
      <c r="I7" s="1002"/>
      <c r="J7" s="423" t="s">
        <v>455</v>
      </c>
      <c r="K7" s="424"/>
      <c r="L7" s="425"/>
      <c r="M7" s="426">
        <f>'ITAnnexure-I'!M24</f>
        <v>541788</v>
      </c>
      <c r="N7" s="427"/>
      <c r="O7" s="305"/>
    </row>
    <row r="8" spans="1:15" ht="13.5" customHeight="1">
      <c r="A8" s="305"/>
      <c r="B8" s="421">
        <v>3</v>
      </c>
      <c r="C8" s="1003" t="s">
        <v>456</v>
      </c>
      <c r="D8" s="1003"/>
      <c r="E8" s="1003"/>
      <c r="F8" s="1003"/>
      <c r="G8" s="1003"/>
      <c r="H8" s="1003"/>
      <c r="I8" s="1003"/>
      <c r="J8" s="428"/>
      <c r="K8" s="429"/>
      <c r="L8" s="430"/>
      <c r="M8" s="426"/>
      <c r="N8" s="431"/>
      <c r="O8" s="305"/>
    </row>
    <row r="9" spans="1:15" ht="13.5" customHeight="1">
      <c r="A9" s="305"/>
      <c r="B9" s="421"/>
      <c r="C9" s="432" t="s">
        <v>457</v>
      </c>
      <c r="D9" s="1004" t="s">
        <v>458</v>
      </c>
      <c r="E9" s="1004"/>
      <c r="F9" s="1004"/>
      <c r="G9" s="1004"/>
      <c r="H9" s="1004"/>
      <c r="I9" s="1004"/>
      <c r="J9" s="434" t="s">
        <v>455</v>
      </c>
      <c r="K9" s="435"/>
      <c r="L9" s="436">
        <f>'ITAnnexure-I'!F24</f>
        <v>30056</v>
      </c>
      <c r="M9" s="426"/>
      <c r="N9" s="431"/>
      <c r="O9" s="305"/>
    </row>
    <row r="10" spans="1:15" ht="13.5" customHeight="1">
      <c r="A10" s="305"/>
      <c r="B10" s="421"/>
      <c r="C10" s="432" t="s">
        <v>459</v>
      </c>
      <c r="D10" s="1005" t="str">
        <f>'it pro'!H169</f>
        <v>Actual House Rent paid  minus 10% of  Salary(Rent: @ 6300/-PM)</v>
      </c>
      <c r="E10" s="1005"/>
      <c r="F10" s="1005"/>
      <c r="G10" s="1005"/>
      <c r="H10" s="1005"/>
      <c r="I10" s="1005"/>
      <c r="J10" s="434" t="s">
        <v>455</v>
      </c>
      <c r="K10" s="435"/>
      <c r="L10" s="437">
        <f>'it pro'!Q160</f>
        <v>31189</v>
      </c>
      <c r="M10" s="426"/>
      <c r="N10" s="431"/>
      <c r="O10" s="305"/>
    </row>
    <row r="11" spans="1:17" ht="13.5" customHeight="1">
      <c r="A11" s="305"/>
      <c r="B11" s="421"/>
      <c r="C11" s="432" t="s">
        <v>460</v>
      </c>
      <c r="D11" s="1004" t="s">
        <v>461</v>
      </c>
      <c r="E11" s="1004"/>
      <c r="F11" s="1004"/>
      <c r="G11" s="1004"/>
      <c r="H11" s="1004"/>
      <c r="I11" s="1004"/>
      <c r="J11" s="434" t="s">
        <v>455</v>
      </c>
      <c r="K11" s="435"/>
      <c r="L11" s="436">
        <f>'it pro'!M160</f>
        <v>177643</v>
      </c>
      <c r="M11" s="438">
        <f>Q11</f>
        <v>30056</v>
      </c>
      <c r="N11" s="431"/>
      <c r="O11" s="305"/>
      <c r="Q11" s="439">
        <f>IF('it pro'!Q18=1,0,MIN(L9:L11))</f>
        <v>30056</v>
      </c>
    </row>
    <row r="12" spans="1:17" ht="13.5" customHeight="1">
      <c r="A12" s="305"/>
      <c r="B12" s="421">
        <v>4</v>
      </c>
      <c r="C12" s="1002" t="s">
        <v>462</v>
      </c>
      <c r="D12" s="1002"/>
      <c r="E12" s="1002"/>
      <c r="F12" s="1002"/>
      <c r="G12" s="1002"/>
      <c r="H12" s="1002"/>
      <c r="I12" s="1002"/>
      <c r="J12" s="428" t="s">
        <v>455</v>
      </c>
      <c r="K12" s="429"/>
      <c r="L12" s="430"/>
      <c r="M12" s="426">
        <f>SUM(M7-M11)</f>
        <v>511732</v>
      </c>
      <c r="N12" s="427"/>
      <c r="O12" s="305"/>
      <c r="Q12" s="440">
        <f>IF('it pro'!Q18=1,'ITAnnexure-II'!M7,Q11)</f>
        <v>30056</v>
      </c>
    </row>
    <row r="13" spans="1:17" ht="13.5" customHeight="1">
      <c r="A13" s="305"/>
      <c r="B13" s="421">
        <v>5</v>
      </c>
      <c r="C13" s="1002" t="s">
        <v>463</v>
      </c>
      <c r="D13" s="1002"/>
      <c r="E13" s="1002"/>
      <c r="F13" s="1002"/>
      <c r="G13" s="1002"/>
      <c r="H13" s="1002"/>
      <c r="I13" s="1002"/>
      <c r="J13" s="428"/>
      <c r="K13" s="429"/>
      <c r="L13" s="430"/>
      <c r="M13" s="426"/>
      <c r="N13" s="431"/>
      <c r="O13" s="305"/>
      <c r="Q13" s="441">
        <f>IF('it pro'!L49=1,'ITAnnexure-I'!K24,0)</f>
        <v>0</v>
      </c>
    </row>
    <row r="14" spans="1:15" ht="13.5" customHeight="1">
      <c r="A14" s="305"/>
      <c r="B14" s="421"/>
      <c r="C14" s="432" t="s">
        <v>457</v>
      </c>
      <c r="D14" s="1006" t="s">
        <v>464</v>
      </c>
      <c r="E14" s="1006"/>
      <c r="F14" s="1006"/>
      <c r="G14" s="1006"/>
      <c r="H14" s="1006"/>
      <c r="I14" s="1006"/>
      <c r="J14" s="434" t="s">
        <v>455</v>
      </c>
      <c r="K14" s="435"/>
      <c r="L14" s="437">
        <f>Q13</f>
        <v>0</v>
      </c>
      <c r="M14" s="426"/>
      <c r="N14" s="431"/>
      <c r="O14" s="305"/>
    </row>
    <row r="15" spans="1:15" ht="13.5" customHeight="1">
      <c r="A15" s="305"/>
      <c r="B15" s="421"/>
      <c r="C15" s="432" t="s">
        <v>459</v>
      </c>
      <c r="D15" s="1007" t="s">
        <v>465</v>
      </c>
      <c r="E15" s="1007"/>
      <c r="F15" s="1007"/>
      <c r="G15" s="1007"/>
      <c r="H15" s="1007"/>
      <c r="I15" s="442"/>
      <c r="J15" s="434" t="s">
        <v>455</v>
      </c>
      <c r="K15" s="435"/>
      <c r="L15" s="437">
        <f>IF('it pro'!L49=1,0,'ITAnnexure-I'!R24)</f>
        <v>2400</v>
      </c>
      <c r="M15" s="443">
        <f>SUM(L14:L15)</f>
        <v>2400</v>
      </c>
      <c r="N15" s="431"/>
      <c r="O15" s="305"/>
    </row>
    <row r="16" spans="1:15" ht="13.5" customHeight="1">
      <c r="A16" s="305"/>
      <c r="B16" s="421">
        <v>6</v>
      </c>
      <c r="C16" s="1002" t="s">
        <v>466</v>
      </c>
      <c r="D16" s="1002"/>
      <c r="E16" s="1002"/>
      <c r="F16" s="1002"/>
      <c r="G16" s="1002"/>
      <c r="H16" s="1002"/>
      <c r="I16" s="1002"/>
      <c r="J16" s="434" t="s">
        <v>455</v>
      </c>
      <c r="K16" s="435"/>
      <c r="L16" s="436"/>
      <c r="M16" s="426">
        <f>SUM(M12-M15)</f>
        <v>509332</v>
      </c>
      <c r="N16" s="427"/>
      <c r="O16" s="305"/>
    </row>
    <row r="17" spans="1:15" ht="13.5" customHeight="1">
      <c r="A17" s="305"/>
      <c r="B17" s="421">
        <v>7</v>
      </c>
      <c r="C17" s="1008" t="s">
        <v>467</v>
      </c>
      <c r="D17" s="1008"/>
      <c r="E17" s="1008"/>
      <c r="F17" s="1008"/>
      <c r="G17" s="1008"/>
      <c r="H17" s="1008"/>
      <c r="I17" s="1008"/>
      <c r="J17" s="434" t="s">
        <v>455</v>
      </c>
      <c r="K17" s="435"/>
      <c r="L17" s="445">
        <v>0</v>
      </c>
      <c r="M17" s="446">
        <f>L17</f>
        <v>0</v>
      </c>
      <c r="N17" s="431"/>
      <c r="O17" s="305"/>
    </row>
    <row r="18" spans="1:15" ht="13.5" customHeight="1">
      <c r="A18" s="305"/>
      <c r="B18" s="421">
        <v>8</v>
      </c>
      <c r="C18" s="1008" t="s">
        <v>468</v>
      </c>
      <c r="D18" s="1008"/>
      <c r="E18" s="1008"/>
      <c r="F18" s="1008"/>
      <c r="G18" s="1008"/>
      <c r="H18" s="1008"/>
      <c r="I18" s="1008"/>
      <c r="J18" s="434" t="s">
        <v>455</v>
      </c>
      <c r="K18" s="435"/>
      <c r="L18" s="436">
        <v>0</v>
      </c>
      <c r="M18" s="446">
        <f>L18</f>
        <v>0</v>
      </c>
      <c r="N18" s="431"/>
      <c r="O18" s="305"/>
    </row>
    <row r="19" spans="1:15" ht="13.5" customHeight="1">
      <c r="A19" s="305"/>
      <c r="B19" s="421">
        <v>9</v>
      </c>
      <c r="C19" s="1008" t="s">
        <v>469</v>
      </c>
      <c r="D19" s="1008"/>
      <c r="E19" s="1008"/>
      <c r="F19" s="1008"/>
      <c r="G19" s="1008"/>
      <c r="H19" s="1008"/>
      <c r="I19" s="1008"/>
      <c r="J19" s="434" t="s">
        <v>455</v>
      </c>
      <c r="K19" s="435"/>
      <c r="L19" s="437">
        <f>IF('it pro'!Q18=2,0,'it data'!E11)</f>
        <v>0</v>
      </c>
      <c r="M19" s="447">
        <f>L19</f>
        <v>0</v>
      </c>
      <c r="N19" s="431"/>
      <c r="O19" s="305"/>
    </row>
    <row r="20" spans="1:15" ht="13.5" customHeight="1">
      <c r="A20" s="305"/>
      <c r="B20" s="421"/>
      <c r="C20" s="444" t="s">
        <v>470</v>
      </c>
      <c r="D20" s="433"/>
      <c r="E20" s="433"/>
      <c r="F20" s="433"/>
      <c r="G20" s="433"/>
      <c r="H20" s="433"/>
      <c r="I20" s="433"/>
      <c r="J20" s="448" t="s">
        <v>471</v>
      </c>
      <c r="K20" s="449"/>
      <c r="L20" s="450">
        <f>'it pro'!Z68</f>
        <v>0</v>
      </c>
      <c r="M20" s="438" t="str">
        <f>"- "&amp;('it pro'!Z68)&amp;""</f>
        <v>- 0</v>
      </c>
      <c r="N20" s="431"/>
      <c r="O20" s="305"/>
    </row>
    <row r="21" spans="1:15" ht="13.5" customHeight="1">
      <c r="A21" s="305"/>
      <c r="B21" s="421">
        <v>10</v>
      </c>
      <c r="C21" s="1002" t="s">
        <v>472</v>
      </c>
      <c r="D21" s="1002"/>
      <c r="E21" s="1002"/>
      <c r="F21" s="1002"/>
      <c r="G21" s="1002"/>
      <c r="H21" s="1002"/>
      <c r="I21" s="1002"/>
      <c r="J21" s="428" t="s">
        <v>455</v>
      </c>
      <c r="K21" s="429"/>
      <c r="L21" s="430"/>
      <c r="M21" s="426">
        <f>SUM(M16:M20)+(M20)</f>
        <v>509332</v>
      </c>
      <c r="N21" s="427"/>
      <c r="O21" s="305"/>
    </row>
    <row r="22" spans="1:15" ht="13.5" customHeight="1">
      <c r="A22" s="305"/>
      <c r="B22" s="421">
        <v>11</v>
      </c>
      <c r="C22" s="1002" t="s">
        <v>473</v>
      </c>
      <c r="D22" s="1002"/>
      <c r="E22" s="1002"/>
      <c r="F22" s="1002"/>
      <c r="G22" s="1002"/>
      <c r="H22" s="1002"/>
      <c r="I22" s="1002"/>
      <c r="J22" s="428"/>
      <c r="K22" s="429"/>
      <c r="L22" s="430"/>
      <c r="M22" s="426"/>
      <c r="N22" s="431"/>
      <c r="O22" s="305"/>
    </row>
    <row r="23" spans="1:15" ht="12" customHeight="1">
      <c r="A23" s="305"/>
      <c r="B23" s="421"/>
      <c r="C23" s="432" t="s">
        <v>457</v>
      </c>
      <c r="D23" s="451" t="str">
        <f>'it pro'!T59</f>
        <v>80DDB-Expenditure on medical treatment</v>
      </c>
      <c r="E23" s="451"/>
      <c r="F23" s="451"/>
      <c r="G23" s="451"/>
      <c r="H23" s="451"/>
      <c r="I23" s="452"/>
      <c r="J23" s="434" t="s">
        <v>455</v>
      </c>
      <c r="K23" s="435"/>
      <c r="L23" s="437">
        <f>'it pro'!Z59</f>
        <v>0</v>
      </c>
      <c r="M23" s="426"/>
      <c r="N23" s="431"/>
      <c r="O23" s="305"/>
    </row>
    <row r="24" spans="1:15" ht="12" customHeight="1">
      <c r="A24" s="305"/>
      <c r="B24" s="421"/>
      <c r="C24" s="432" t="s">
        <v>459</v>
      </c>
      <c r="D24" s="451" t="str">
        <f>'it pro'!T47</f>
        <v>80D-Medical Insurance Premium-senior citizen dependent parents</v>
      </c>
      <c r="E24" s="451"/>
      <c r="F24" s="451"/>
      <c r="G24" s="451"/>
      <c r="H24" s="451"/>
      <c r="I24" s="452"/>
      <c r="J24" s="434" t="s">
        <v>455</v>
      </c>
      <c r="K24" s="435"/>
      <c r="L24" s="437">
        <f>'it pro'!Z47</f>
        <v>0</v>
      </c>
      <c r="M24" s="426"/>
      <c r="N24" s="431"/>
      <c r="O24" s="305"/>
    </row>
    <row r="25" spans="1:15" ht="12" customHeight="1">
      <c r="A25" s="305"/>
      <c r="B25" s="421"/>
      <c r="C25" s="432" t="s">
        <v>460</v>
      </c>
      <c r="D25" s="451" t="str">
        <f>'it pro'!T51</f>
        <v>80D-Medical Insurance Premium-Self ,Spouse &amp; Children</v>
      </c>
      <c r="E25" s="451"/>
      <c r="F25" s="451"/>
      <c r="G25" s="451"/>
      <c r="H25" s="451"/>
      <c r="I25" s="452"/>
      <c r="J25" s="434" t="s">
        <v>455</v>
      </c>
      <c r="K25" s="435"/>
      <c r="L25" s="437">
        <f>'it pro'!AA51</f>
        <v>360</v>
      </c>
      <c r="M25" s="426"/>
      <c r="N25" s="431"/>
      <c r="O25" s="305"/>
    </row>
    <row r="26" spans="1:15" ht="12" customHeight="1">
      <c r="A26" s="305"/>
      <c r="B26" s="421"/>
      <c r="C26" s="432" t="s">
        <v>474</v>
      </c>
      <c r="D26" s="451" t="str">
        <f>'it pro'!T62</f>
        <v>80G-Donation of Charitable Institution</v>
      </c>
      <c r="E26" s="451"/>
      <c r="F26" s="451"/>
      <c r="G26" s="451"/>
      <c r="H26" s="451"/>
      <c r="I26" s="452"/>
      <c r="J26" s="434" t="s">
        <v>455</v>
      </c>
      <c r="K26" s="435"/>
      <c r="L26" s="437">
        <f>'it pro'!Z62</f>
        <v>0</v>
      </c>
      <c r="M26" s="426"/>
      <c r="N26" s="431"/>
      <c r="O26" s="305"/>
    </row>
    <row r="27" spans="1:15" ht="12" customHeight="1">
      <c r="A27" s="305"/>
      <c r="B27" s="421"/>
      <c r="C27" s="432" t="s">
        <v>475</v>
      </c>
      <c r="D27" s="451" t="str">
        <f>'it pro'!T66</f>
        <v>80E-Interest on Educational Loan</v>
      </c>
      <c r="E27" s="451"/>
      <c r="F27" s="451"/>
      <c r="G27" s="451"/>
      <c r="H27" s="451"/>
      <c r="I27" s="452"/>
      <c r="J27" s="434" t="s">
        <v>455</v>
      </c>
      <c r="K27" s="435"/>
      <c r="L27" s="437">
        <f>'it pro'!Z66</f>
        <v>0</v>
      </c>
      <c r="M27" s="426"/>
      <c r="N27" s="431"/>
      <c r="O27" s="305"/>
    </row>
    <row r="28" spans="1:15" ht="12" customHeight="1">
      <c r="A28" s="305"/>
      <c r="B28" s="421"/>
      <c r="C28" s="432" t="s">
        <v>476</v>
      </c>
      <c r="D28" s="451" t="s">
        <v>477</v>
      </c>
      <c r="E28" s="451"/>
      <c r="F28" s="451"/>
      <c r="G28" s="451"/>
      <c r="H28" s="451"/>
      <c r="I28" s="452"/>
      <c r="J28" s="434" t="s">
        <v>455</v>
      </c>
      <c r="K28" s="435"/>
      <c r="L28" s="437">
        <f>'form 16 page 2'!J10</f>
        <v>0</v>
      </c>
      <c r="M28" s="426"/>
      <c r="N28" s="431"/>
      <c r="O28" s="305"/>
    </row>
    <row r="29" spans="1:15" ht="12" customHeight="1">
      <c r="A29" s="305"/>
      <c r="B29" s="421"/>
      <c r="C29" s="432" t="s">
        <v>478</v>
      </c>
      <c r="D29" s="451" t="str">
        <f>'it pro'!T70</f>
        <v>80DD-Treatment of Handicapped Dependent-above 40%disability</v>
      </c>
      <c r="E29" s="451"/>
      <c r="F29" s="451"/>
      <c r="G29" s="451"/>
      <c r="H29" s="451"/>
      <c r="I29" s="453"/>
      <c r="J29" s="434" t="s">
        <v>455</v>
      </c>
      <c r="K29" s="424"/>
      <c r="L29" s="437">
        <f>'it pro'!Z70</f>
        <v>0</v>
      </c>
      <c r="M29" s="426"/>
      <c r="N29" s="431"/>
      <c r="O29" s="305"/>
    </row>
    <row r="30" spans="1:15" ht="12" customHeight="1">
      <c r="A30" s="305"/>
      <c r="B30" s="421"/>
      <c r="C30" s="432" t="s">
        <v>479</v>
      </c>
      <c r="D30" s="451" t="str">
        <f>IF(OR('it data'!J30="",'it data'!J30=0),"deductions for disabled Person",'it pro'!T78)</f>
        <v>deductions for disabled Person</v>
      </c>
      <c r="E30" s="451"/>
      <c r="F30" s="451"/>
      <c r="G30" s="451"/>
      <c r="H30" s="451"/>
      <c r="I30" s="453"/>
      <c r="J30" s="434" t="s">
        <v>455</v>
      </c>
      <c r="K30" s="424"/>
      <c r="L30" s="437">
        <f>'it pro'!Z74</f>
        <v>0</v>
      </c>
      <c r="M30" s="426"/>
      <c r="N30" s="431"/>
      <c r="O30" s="305"/>
    </row>
    <row r="31" spans="1:15" ht="12" customHeight="1">
      <c r="A31" s="305"/>
      <c r="B31" s="421"/>
      <c r="C31" s="432" t="s">
        <v>480</v>
      </c>
      <c r="D31" s="1009" t="s">
        <v>481</v>
      </c>
      <c r="E31" s="1009"/>
      <c r="F31" s="1009"/>
      <c r="G31" s="1009"/>
      <c r="H31" s="1009"/>
      <c r="I31" s="1009"/>
      <c r="J31" s="423" t="s">
        <v>455</v>
      </c>
      <c r="K31" s="424"/>
      <c r="L31" s="455">
        <f>IF('ITAnnexure-I'!T24=0,0,'ITAnnexure-I'!T24)</f>
        <v>2124</v>
      </c>
      <c r="M31" s="426"/>
      <c r="N31" s="431"/>
      <c r="O31" s="305"/>
    </row>
    <row r="32" spans="1:15" ht="12" customHeight="1">
      <c r="A32" s="305"/>
      <c r="B32" s="421"/>
      <c r="C32" s="432" t="s">
        <v>482</v>
      </c>
      <c r="D32" s="454" t="str">
        <f>'it data'!G36</f>
        <v>Others</v>
      </c>
      <c r="E32" s="454"/>
      <c r="F32" s="454"/>
      <c r="G32" s="454"/>
      <c r="H32" s="454"/>
      <c r="I32" s="454"/>
      <c r="J32" s="434" t="s">
        <v>455</v>
      </c>
      <c r="K32" s="435"/>
      <c r="L32" s="437">
        <f>'it data'!J36</f>
        <v>0</v>
      </c>
      <c r="M32" s="426"/>
      <c r="N32" s="431"/>
      <c r="O32" s="305"/>
    </row>
    <row r="33" spans="1:15" ht="12" customHeight="1">
      <c r="A33" s="305"/>
      <c r="B33" s="421"/>
      <c r="C33" s="1010" t="s">
        <v>483</v>
      </c>
      <c r="D33" s="1010"/>
      <c r="E33" s="1010"/>
      <c r="F33" s="1010"/>
      <c r="G33" s="1010"/>
      <c r="H33" s="1010"/>
      <c r="I33" s="1010"/>
      <c r="J33" s="456" t="s">
        <v>455</v>
      </c>
      <c r="K33" s="449"/>
      <c r="L33" s="457">
        <f>SUM(L23:L32)</f>
        <v>2484</v>
      </c>
      <c r="M33" s="443">
        <f>L33</f>
        <v>2484</v>
      </c>
      <c r="N33" s="431"/>
      <c r="O33" s="305"/>
    </row>
    <row r="34" spans="1:15" ht="13.5" customHeight="1">
      <c r="A34" s="305"/>
      <c r="B34" s="421">
        <v>12</v>
      </c>
      <c r="C34" s="1002" t="s">
        <v>484</v>
      </c>
      <c r="D34" s="1002"/>
      <c r="E34" s="1002"/>
      <c r="F34" s="1002"/>
      <c r="G34" s="1002"/>
      <c r="H34" s="1002"/>
      <c r="I34" s="1002"/>
      <c r="J34" s="428" t="s">
        <v>455</v>
      </c>
      <c r="K34" s="429"/>
      <c r="L34" s="430"/>
      <c r="M34" s="426">
        <f>SUM(M21-M33)</f>
        <v>506848</v>
      </c>
      <c r="N34" s="427"/>
      <c r="O34" s="305"/>
    </row>
    <row r="35" spans="1:15" ht="17.25" customHeight="1">
      <c r="A35" s="305"/>
      <c r="B35" s="421">
        <v>13</v>
      </c>
      <c r="C35" s="458" t="s">
        <v>485</v>
      </c>
      <c r="D35" s="459"/>
      <c r="E35" s="459"/>
      <c r="F35" s="459"/>
      <c r="G35" s="459"/>
      <c r="H35" s="459"/>
      <c r="I35" s="460"/>
      <c r="J35" s="428"/>
      <c r="K35" s="429"/>
      <c r="L35" s="430"/>
      <c r="M35" s="426"/>
      <c r="N35" s="431"/>
      <c r="O35" s="305"/>
    </row>
    <row r="36" spans="1:15" ht="12" customHeight="1">
      <c r="A36" s="305"/>
      <c r="B36" s="421"/>
      <c r="C36" s="432" t="s">
        <v>457</v>
      </c>
      <c r="D36" s="1011" t="str">
        <f>'it pro'!R34</f>
        <v>ZP GPF</v>
      </c>
      <c r="E36" s="1011"/>
      <c r="F36" s="1011"/>
      <c r="G36" s="461" t="s">
        <v>486</v>
      </c>
      <c r="H36" s="462" t="str">
        <f>IF(ISBLANK('it data'!D10),"",'it data'!D10)</f>
        <v>14646</v>
      </c>
      <c r="I36" s="451" t="s">
        <v>487</v>
      </c>
      <c r="J36" s="434" t="s">
        <v>455</v>
      </c>
      <c r="K36" s="435"/>
      <c r="L36" s="437">
        <f>'it pro'!BZ30</f>
        <v>10797</v>
      </c>
      <c r="M36" s="426"/>
      <c r="N36" s="431"/>
      <c r="O36" s="305"/>
    </row>
    <row r="37" spans="1:15" ht="12" customHeight="1">
      <c r="A37" s="305"/>
      <c r="B37" s="421"/>
      <c r="C37" s="432" t="s">
        <v>459</v>
      </c>
      <c r="D37" s="1011" t="s">
        <v>285</v>
      </c>
      <c r="E37" s="1011"/>
      <c r="F37" s="453"/>
      <c r="G37" s="463" t="s">
        <v>488</v>
      </c>
      <c r="H37" s="453" t="str">
        <f>IF(ISBLANK('it data'!B9),"",'it data'!B9)</f>
        <v> </v>
      </c>
      <c r="I37" s="451" t="s">
        <v>487</v>
      </c>
      <c r="J37" s="434" t="s">
        <v>455</v>
      </c>
      <c r="K37" s="435"/>
      <c r="L37" s="437">
        <f>'it pro'!BV31</f>
        <v>0</v>
      </c>
      <c r="M37" s="426"/>
      <c r="N37" s="431"/>
      <c r="O37" s="305"/>
    </row>
    <row r="38" spans="1:15" ht="12" customHeight="1">
      <c r="A38" s="305"/>
      <c r="B38" s="421"/>
      <c r="C38" s="432" t="s">
        <v>460</v>
      </c>
      <c r="D38" s="453" t="s">
        <v>286</v>
      </c>
      <c r="E38" s="453"/>
      <c r="F38" s="453"/>
      <c r="G38" s="453"/>
      <c r="H38" s="453"/>
      <c r="I38" s="453"/>
      <c r="J38" s="434" t="s">
        <v>455</v>
      </c>
      <c r="K38" s="435"/>
      <c r="L38" s="437">
        <f>'it pro'!BV32</f>
        <v>0</v>
      </c>
      <c r="M38" s="426"/>
      <c r="N38" s="431"/>
      <c r="O38" s="305"/>
    </row>
    <row r="39" spans="1:15" ht="12.75" customHeight="1">
      <c r="A39" s="305"/>
      <c r="B39" s="421"/>
      <c r="C39" s="464" t="s">
        <v>474</v>
      </c>
      <c r="D39" s="1011" t="s">
        <v>489</v>
      </c>
      <c r="E39" s="1011"/>
      <c r="F39" s="1011"/>
      <c r="G39" s="1011"/>
      <c r="H39" s="1011"/>
      <c r="I39" s="1011"/>
      <c r="J39" s="434" t="s">
        <v>455</v>
      </c>
      <c r="K39" s="435"/>
      <c r="L39" s="437">
        <f>'it pro'!BV33</f>
        <v>0</v>
      </c>
      <c r="M39" s="426"/>
      <c r="N39" s="431"/>
      <c r="O39" s="305"/>
    </row>
    <row r="40" spans="1:15" ht="12" customHeight="1">
      <c r="A40" s="305"/>
      <c r="B40" s="421"/>
      <c r="C40" s="432" t="s">
        <v>475</v>
      </c>
      <c r="D40" s="1011" t="str">
        <f>'it pro'!BS34</f>
        <v>Children Tution Fee </v>
      </c>
      <c r="E40" s="1011"/>
      <c r="F40" s="1011"/>
      <c r="G40" s="1011"/>
      <c r="H40" s="1011"/>
      <c r="I40" s="1011"/>
      <c r="J40" s="434" t="s">
        <v>455</v>
      </c>
      <c r="K40" s="435"/>
      <c r="L40" s="437">
        <f>'it pro'!BY34</f>
        <v>0</v>
      </c>
      <c r="M40" s="426"/>
      <c r="N40" s="431"/>
      <c r="O40" s="305"/>
    </row>
    <row r="41" spans="1:15" ht="11.25" customHeight="1">
      <c r="A41" s="305"/>
      <c r="B41" s="421"/>
      <c r="C41" s="432" t="s">
        <v>476</v>
      </c>
      <c r="D41" s="453" t="str">
        <f>'it pro'!BS35</f>
        <v>Repayement of Home Loan Premium</v>
      </c>
      <c r="E41" s="453"/>
      <c r="F41" s="453"/>
      <c r="G41" s="453"/>
      <c r="H41" s="453"/>
      <c r="I41" s="453"/>
      <c r="J41" s="434" t="s">
        <v>455</v>
      </c>
      <c r="K41" s="435"/>
      <c r="L41" s="437">
        <f>'it pro'!BY35</f>
        <v>0</v>
      </c>
      <c r="M41" s="426"/>
      <c r="N41" s="431"/>
      <c r="O41" s="305"/>
    </row>
    <row r="42" spans="1:15" ht="12" customHeight="1">
      <c r="A42" s="305"/>
      <c r="B42" s="421"/>
      <c r="C42" s="464" t="s">
        <v>478</v>
      </c>
      <c r="D42" s="453" t="str">
        <f>'it pro'!BS36</f>
        <v>LIC Annual Premiums Paid by Hand</v>
      </c>
      <c r="E42" s="453"/>
      <c r="F42" s="453"/>
      <c r="G42" s="453"/>
      <c r="H42" s="453"/>
      <c r="I42" s="453"/>
      <c r="J42" s="434" t="s">
        <v>455</v>
      </c>
      <c r="K42" s="435"/>
      <c r="L42" s="437">
        <f>'it pro'!BY36</f>
        <v>0</v>
      </c>
      <c r="M42" s="426"/>
      <c r="N42" s="431"/>
      <c r="O42" s="305"/>
    </row>
    <row r="43" spans="1:15" ht="12" customHeight="1">
      <c r="A43" s="305"/>
      <c r="B43" s="421"/>
      <c r="C43" s="432" t="s">
        <v>479</v>
      </c>
      <c r="D43" s="453" t="str">
        <f>'it pro'!BS37</f>
        <v>SBI Life insurance</v>
      </c>
      <c r="E43" s="453"/>
      <c r="F43" s="453"/>
      <c r="G43" s="453"/>
      <c r="H43" s="453"/>
      <c r="I43" s="453"/>
      <c r="J43" s="434" t="s">
        <v>455</v>
      </c>
      <c r="K43" s="435"/>
      <c r="L43" s="437">
        <f>'it pro'!BY37</f>
        <v>0</v>
      </c>
      <c r="M43" s="426"/>
      <c r="N43" s="431"/>
      <c r="O43" s="305"/>
    </row>
    <row r="44" spans="1:15" ht="12" customHeight="1">
      <c r="A44" s="305"/>
      <c r="B44" s="421"/>
      <c r="C44" s="464" t="s">
        <v>480</v>
      </c>
      <c r="D44" s="453" t="str">
        <f>'it pro'!BS38</f>
        <v>Public Provident Fund</v>
      </c>
      <c r="E44" s="453"/>
      <c r="F44" s="453"/>
      <c r="G44" s="453"/>
      <c r="H44" s="453"/>
      <c r="I44" s="453"/>
      <c r="J44" s="434" t="s">
        <v>455</v>
      </c>
      <c r="K44" s="435"/>
      <c r="L44" s="437">
        <f>'it pro'!BY38</f>
        <v>0</v>
      </c>
      <c r="M44" s="426"/>
      <c r="N44" s="431"/>
      <c r="O44" s="305"/>
    </row>
    <row r="45" spans="1:17" ht="12" customHeight="1">
      <c r="A45" s="305"/>
      <c r="B45" s="421"/>
      <c r="C45" s="432" t="s">
        <v>482</v>
      </c>
      <c r="D45" s="453" t="str">
        <f>'it pro'!BS39</f>
        <v>Rajiv Gandhi Equity Savings Scheme-80CCG</v>
      </c>
      <c r="E45" s="453"/>
      <c r="F45" s="453"/>
      <c r="G45" s="453"/>
      <c r="H45" s="453"/>
      <c r="I45" s="453"/>
      <c r="J45" s="434" t="s">
        <v>455</v>
      </c>
      <c r="K45" s="435"/>
      <c r="L45" s="437">
        <f>'it pro'!BY39</f>
        <v>0</v>
      </c>
      <c r="M45" s="426"/>
      <c r="N45" s="431"/>
      <c r="O45" s="305"/>
      <c r="Q45" s="465"/>
    </row>
    <row r="46" spans="1:15" ht="12" customHeight="1">
      <c r="A46" s="305"/>
      <c r="B46" s="421"/>
      <c r="C46" s="464" t="s">
        <v>490</v>
      </c>
      <c r="D46" s="466" t="str">
        <f>'it pro'!BS40</f>
        <v>Interest on Savings account-80TTA</v>
      </c>
      <c r="E46" s="453"/>
      <c r="F46" s="451"/>
      <c r="G46" s="451"/>
      <c r="H46" s="451"/>
      <c r="I46" s="453"/>
      <c r="J46" s="434" t="s">
        <v>455</v>
      </c>
      <c r="K46" s="435"/>
      <c r="L46" s="437">
        <f>'it pro'!BY40</f>
        <v>0</v>
      </c>
      <c r="M46" s="426"/>
      <c r="N46" s="431"/>
      <c r="O46" s="305"/>
    </row>
    <row r="47" spans="1:15" ht="12" customHeight="1">
      <c r="A47" s="305"/>
      <c r="B47" s="421"/>
      <c r="C47" s="464" t="s">
        <v>491</v>
      </c>
      <c r="D47" s="453" t="str">
        <f>"("&amp;(IF('it data'!G23=0,"",'it data'!G23)&amp;")")</f>
        <v>(Others)</v>
      </c>
      <c r="E47" s="453"/>
      <c r="F47" s="467"/>
      <c r="G47" s="467"/>
      <c r="H47" s="467"/>
      <c r="I47" s="453"/>
      <c r="J47" s="434" t="s">
        <v>455</v>
      </c>
      <c r="K47" s="435"/>
      <c r="L47" s="437">
        <f>'it pro'!BY42</f>
        <v>0</v>
      </c>
      <c r="M47" s="426"/>
      <c r="N47" s="431"/>
      <c r="O47" s="305"/>
    </row>
    <row r="48" spans="1:15" ht="14.25" customHeight="1">
      <c r="A48" s="305"/>
      <c r="B48" s="421"/>
      <c r="C48" s="1002" t="s">
        <v>492</v>
      </c>
      <c r="D48" s="1002"/>
      <c r="E48" s="1002"/>
      <c r="F48" s="1002"/>
      <c r="G48" s="468"/>
      <c r="H48" s="468"/>
      <c r="I48" s="469"/>
      <c r="J48" s="456" t="s">
        <v>455</v>
      </c>
      <c r="K48" s="449"/>
      <c r="L48" s="450">
        <f>SUM(L36:L47)</f>
        <v>10797</v>
      </c>
      <c r="M48" s="443">
        <f>'it pro'!BY44</f>
        <v>10797</v>
      </c>
      <c r="N48" s="470"/>
      <c r="O48" s="305"/>
    </row>
    <row r="49" spans="1:15" ht="15.75" customHeight="1">
      <c r="A49" s="305"/>
      <c r="B49" s="421">
        <v>14</v>
      </c>
      <c r="C49" s="1002" t="s">
        <v>493</v>
      </c>
      <c r="D49" s="1002"/>
      <c r="E49" s="1002"/>
      <c r="F49" s="1002"/>
      <c r="G49" s="1002"/>
      <c r="H49" s="1002"/>
      <c r="I49" s="1002"/>
      <c r="J49" s="471" t="s">
        <v>455</v>
      </c>
      <c r="K49" s="472"/>
      <c r="L49" s="473"/>
      <c r="M49" s="474">
        <f>ROUND(M34-M48,-1)</f>
        <v>496050</v>
      </c>
      <c r="N49" s="427"/>
      <c r="O49" s="475"/>
    </row>
    <row r="50" spans="1:15" ht="18" customHeight="1">
      <c r="A50" s="305"/>
      <c r="B50" s="421">
        <v>15</v>
      </c>
      <c r="C50" s="1002" t="s">
        <v>494</v>
      </c>
      <c r="D50" s="1002"/>
      <c r="E50" s="1002"/>
      <c r="F50" s="1002"/>
      <c r="G50" s="1002"/>
      <c r="H50" s="1002"/>
      <c r="I50" s="468"/>
      <c r="J50" s="434"/>
      <c r="K50" s="435"/>
      <c r="L50" s="436"/>
      <c r="M50" s="476"/>
      <c r="N50" s="431"/>
      <c r="O50" s="305"/>
    </row>
    <row r="51" spans="1:18" ht="13.5" customHeight="1">
      <c r="A51" s="305"/>
      <c r="B51" s="421"/>
      <c r="C51" s="432" t="s">
        <v>457</v>
      </c>
      <c r="D51" s="1012" t="str">
        <f>'it pro'!G171</f>
        <v>Up to Rs. 250000</v>
      </c>
      <c r="E51" s="1012"/>
      <c r="F51" s="1012"/>
      <c r="G51" s="1012"/>
      <c r="H51" s="1012"/>
      <c r="I51" s="451"/>
      <c r="J51" s="434" t="s">
        <v>455</v>
      </c>
      <c r="K51" s="435"/>
      <c r="L51" s="436"/>
      <c r="M51" s="478" t="s">
        <v>495</v>
      </c>
      <c r="N51" s="479"/>
      <c r="O51" s="305"/>
      <c r="P51" s="1013" t="str">
        <f>IF(R53=0,"","10%  on taxble income After debating Rs.2,50,000 from "&amp;(M49)&amp;"")</f>
        <v>10%  on taxble income After debating Rs.2,50,000 from 496050</v>
      </c>
      <c r="Q51" s="480"/>
      <c r="R51" s="1014">
        <f>IF(R53=0,"",ROUND('it pro'!I189*Sheet2!D33,0.1))</f>
        <v>24605</v>
      </c>
    </row>
    <row r="52" spans="1:18" ht="13.5" customHeight="1">
      <c r="A52" s="305"/>
      <c r="B52" s="421"/>
      <c r="C52" s="432" t="s">
        <v>459</v>
      </c>
      <c r="D52" s="477" t="str">
        <f>'it pro'!G172</f>
        <v>Rs.250001 To 500000 (@ 10%) Tax rebate  -Rs.2000/-</v>
      </c>
      <c r="E52" s="477"/>
      <c r="F52" s="477"/>
      <c r="G52" s="477"/>
      <c r="H52" s="477"/>
      <c r="I52" s="451"/>
      <c r="J52" s="434" t="s">
        <v>455</v>
      </c>
      <c r="K52" s="435"/>
      <c r="L52" s="436"/>
      <c r="M52" s="478">
        <f>IF('it pro'!J189=0,0,'it pro'!J189)</f>
        <v>22605</v>
      </c>
      <c r="N52" s="481"/>
      <c r="O52" s="305"/>
      <c r="P52" s="1013"/>
      <c r="Q52" s="482"/>
      <c r="R52" s="1014"/>
    </row>
    <row r="53" spans="1:18" ht="13.5" customHeight="1">
      <c r="A53" s="305"/>
      <c r="B53" s="421"/>
      <c r="C53" s="477" t="str">
        <f>IF('it pro'!L182=0,"",IF('it data'!H5&lt;2013,"","Tax Rebate U/s 87 A [Rs.2000/-up to taxble income Rs.5,00,000/-]"))</f>
        <v>Tax Rebate U/s 87 A [Rs.2000/-up to taxble income Rs.5,00,000/-]</v>
      </c>
      <c r="E53" s="477"/>
      <c r="F53" s="477"/>
      <c r="G53" s="477"/>
      <c r="H53" s="477"/>
      <c r="I53" s="451"/>
      <c r="J53" s="434"/>
      <c r="K53" s="435"/>
      <c r="L53" s="436"/>
      <c r="M53" s="478"/>
      <c r="N53" s="481"/>
      <c r="O53" s="305"/>
      <c r="P53" s="482" t="str">
        <f>IF(R53=0,"","Tax Rebate U/s 87 A")</f>
        <v>Tax Rebate U/s 87 A</v>
      </c>
      <c r="Q53" s="482"/>
      <c r="R53" s="483">
        <f>IF('it data'!H5&lt;2013,0,'it pro'!L182)</f>
        <v>2000</v>
      </c>
    </row>
    <row r="54" spans="1:18" ht="13.5" customHeight="1">
      <c r="A54" s="305"/>
      <c r="B54" s="421"/>
      <c r="C54" s="432" t="s">
        <v>460</v>
      </c>
      <c r="D54" s="1015" t="str">
        <f>'it pro'!G181</f>
        <v>Rs.500001 To 1000000    (@ 20%)</v>
      </c>
      <c r="E54" s="1015"/>
      <c r="F54" s="1015"/>
      <c r="G54" s="1015"/>
      <c r="H54" s="1015"/>
      <c r="I54" s="451"/>
      <c r="J54" s="434" t="s">
        <v>455</v>
      </c>
      <c r="K54" s="435"/>
      <c r="L54" s="436"/>
      <c r="M54" s="478">
        <f>IF('it pro'!J190=0,0,'it pro'!J190)</f>
        <v>0</v>
      </c>
      <c r="N54" s="481"/>
      <c r="O54" s="305"/>
      <c r="P54" s="482"/>
      <c r="Q54" s="482"/>
      <c r="R54" s="485">
        <f>IF(R53=0,"",M52)</f>
        <v>22605</v>
      </c>
    </row>
    <row r="55" spans="1:15" ht="13.5" customHeight="1">
      <c r="A55" s="305"/>
      <c r="B55" s="421"/>
      <c r="C55" s="432" t="s">
        <v>474</v>
      </c>
      <c r="D55" s="1016" t="str">
        <f>'it pro'!G182</f>
        <v>Above Rs.1000000   (@ 30%)</v>
      </c>
      <c r="E55" s="1016"/>
      <c r="F55" s="1016"/>
      <c r="G55" s="1016"/>
      <c r="H55" s="1016"/>
      <c r="I55" s="451"/>
      <c r="J55" s="434" t="s">
        <v>455</v>
      </c>
      <c r="K55" s="435"/>
      <c r="L55" s="436"/>
      <c r="M55" s="478">
        <f>IF('it pro'!J191=0,0,'it pro'!J191)</f>
        <v>0</v>
      </c>
      <c r="N55" s="481"/>
      <c r="O55" s="305"/>
    </row>
    <row r="56" spans="1:15" ht="13.5" customHeight="1">
      <c r="A56" s="305"/>
      <c r="B56" s="421">
        <v>16</v>
      </c>
      <c r="C56" s="444" t="s">
        <v>496</v>
      </c>
      <c r="D56" s="486"/>
      <c r="E56" s="486"/>
      <c r="F56" s="486"/>
      <c r="H56" s="486"/>
      <c r="I56" s="451"/>
      <c r="J56" s="434"/>
      <c r="K56" s="435"/>
      <c r="L56" s="436"/>
      <c r="M56" s="478">
        <f>SUM(M52:M55)</f>
        <v>22605</v>
      </c>
      <c r="N56" s="481"/>
      <c r="O56" s="305"/>
    </row>
    <row r="57" spans="1:15" ht="13.5" customHeight="1">
      <c r="A57" s="305"/>
      <c r="B57" s="421">
        <v>17</v>
      </c>
      <c r="C57" s="1008" t="str">
        <f>'it pro'!G184</f>
        <v>Education Cess @ 1%</v>
      </c>
      <c r="D57" s="1008"/>
      <c r="E57" s="1008"/>
      <c r="F57" s="1008"/>
      <c r="G57" s="1008"/>
      <c r="H57" s="1008"/>
      <c r="I57" s="451"/>
      <c r="J57" s="434"/>
      <c r="K57" s="435"/>
      <c r="L57" s="436"/>
      <c r="M57" s="476">
        <f>'it pro'!J184</f>
        <v>226</v>
      </c>
      <c r="N57" s="481"/>
      <c r="O57" s="305"/>
    </row>
    <row r="58" spans="1:15" ht="13.5" customHeight="1">
      <c r="A58" s="305"/>
      <c r="B58" s="421">
        <v>18</v>
      </c>
      <c r="C58" s="1008" t="str">
        <f>'it pro'!G185</f>
        <v>Secondary &amp; Higher Education Cess @ 2%</v>
      </c>
      <c r="D58" s="1008"/>
      <c r="E58" s="1008"/>
      <c r="F58" s="1008"/>
      <c r="G58" s="1008"/>
      <c r="H58" s="1008"/>
      <c r="I58" s="451"/>
      <c r="J58" s="434" t="s">
        <v>455</v>
      </c>
      <c r="K58" s="487"/>
      <c r="L58" s="436"/>
      <c r="M58" s="476">
        <f>'it pro'!J185</f>
        <v>452</v>
      </c>
      <c r="N58" s="431"/>
      <c r="O58" s="305"/>
    </row>
    <row r="59" spans="1:15" ht="16.5" customHeight="1">
      <c r="A59" s="305"/>
      <c r="B59" s="421">
        <v>19</v>
      </c>
      <c r="C59" s="1002" t="s">
        <v>497</v>
      </c>
      <c r="D59" s="1002"/>
      <c r="E59" s="1002"/>
      <c r="F59" s="1002"/>
      <c r="G59" s="1002"/>
      <c r="H59" s="1002"/>
      <c r="I59" s="488"/>
      <c r="J59" s="434" t="s">
        <v>455</v>
      </c>
      <c r="K59" s="435"/>
      <c r="L59" s="436"/>
      <c r="M59" s="476">
        <f>'it pro'!L187</f>
        <v>23283</v>
      </c>
      <c r="N59" s="427"/>
      <c r="O59" s="305"/>
    </row>
    <row r="60" spans="1:15" ht="16.5" customHeight="1">
      <c r="A60" s="305"/>
      <c r="B60" s="421">
        <v>20</v>
      </c>
      <c r="C60" s="1002" t="s">
        <v>498</v>
      </c>
      <c r="D60" s="1002"/>
      <c r="E60" s="1002"/>
      <c r="F60" s="1002"/>
      <c r="G60" s="1002"/>
      <c r="H60" s="1002"/>
      <c r="I60" s="488"/>
      <c r="J60" s="434"/>
      <c r="K60" s="435"/>
      <c r="L60" s="445"/>
      <c r="M60" s="489"/>
      <c r="N60" s="431"/>
      <c r="O60" s="305"/>
    </row>
    <row r="61" spans="1:15" ht="13.5" customHeight="1">
      <c r="A61" s="305"/>
      <c r="B61" s="421"/>
      <c r="C61" s="432" t="s">
        <v>457</v>
      </c>
      <c r="D61" s="484" t="s">
        <v>499</v>
      </c>
      <c r="E61" s="1017" t="str">
        <f>'it pro'!D172</f>
        <v>Nov-14</v>
      </c>
      <c r="F61" s="1017"/>
      <c r="G61" s="490" t="s">
        <v>455</v>
      </c>
      <c r="H61" s="491">
        <f>IF('it pro'!E172=0,0,'it pro'!E172)</f>
        <v>0</v>
      </c>
      <c r="I61" s="451"/>
      <c r="J61" s="1018" t="s">
        <v>500</v>
      </c>
      <c r="K61" s="1018"/>
      <c r="L61" s="1018"/>
      <c r="M61" s="476">
        <f>H65</f>
        <v>0</v>
      </c>
      <c r="N61" s="431"/>
      <c r="O61" s="305"/>
    </row>
    <row r="62" spans="1:15" ht="13.5" customHeight="1">
      <c r="A62" s="305"/>
      <c r="B62" s="421"/>
      <c r="C62" s="432" t="s">
        <v>459</v>
      </c>
      <c r="D62" s="484"/>
      <c r="E62" s="1017" t="str">
        <f>'it pro'!D173</f>
        <v>Dec-14</v>
      </c>
      <c r="F62" s="1017"/>
      <c r="G62" s="490" t="s">
        <v>455</v>
      </c>
      <c r="H62" s="491">
        <f>IF('it pro'!E173=0,0,'it pro'!E173)</f>
        <v>0</v>
      </c>
      <c r="I62" s="451"/>
      <c r="J62" s="492"/>
      <c r="K62" s="429"/>
      <c r="L62" s="493"/>
      <c r="M62" s="494"/>
      <c r="N62" s="431"/>
      <c r="O62" s="305"/>
    </row>
    <row r="63" spans="1:15" ht="13.5" customHeight="1">
      <c r="A63" s="305"/>
      <c r="B63" s="421"/>
      <c r="C63" s="432" t="s">
        <v>460</v>
      </c>
      <c r="D63" s="484"/>
      <c r="E63" s="1017" t="str">
        <f>'it pro'!D174</f>
        <v>Jan-15</v>
      </c>
      <c r="F63" s="1017"/>
      <c r="G63" s="490" t="s">
        <v>455</v>
      </c>
      <c r="H63" s="491">
        <f>IF('it pro'!E174=0,0,'it pro'!E174)</f>
        <v>0</v>
      </c>
      <c r="I63" s="451"/>
      <c r="J63" s="492"/>
      <c r="K63" s="429"/>
      <c r="L63" s="493"/>
      <c r="M63" s="494"/>
      <c r="N63" s="431"/>
      <c r="O63" s="305"/>
    </row>
    <row r="64" spans="1:15" ht="13.5" customHeight="1">
      <c r="A64" s="305"/>
      <c r="B64" s="421"/>
      <c r="C64" s="432" t="s">
        <v>474</v>
      </c>
      <c r="D64" s="484"/>
      <c r="E64" s="1017" t="str">
        <f>'it pro'!D175</f>
        <v>Feb-15</v>
      </c>
      <c r="F64" s="1017"/>
      <c r="G64" s="490" t="s">
        <v>455</v>
      </c>
      <c r="H64" s="491">
        <f>IF('it pro'!E175=0,0,'it pro'!E175)</f>
        <v>0</v>
      </c>
      <c r="I64" s="451"/>
      <c r="J64" s="492"/>
      <c r="K64" s="429"/>
      <c r="L64" s="493"/>
      <c r="M64" s="494"/>
      <c r="N64" s="431"/>
      <c r="O64" s="305"/>
    </row>
    <row r="65" spans="1:15" ht="12.75" customHeight="1">
      <c r="A65" s="305"/>
      <c r="B65" s="421"/>
      <c r="C65" s="432"/>
      <c r="D65" s="1004" t="s">
        <v>501</v>
      </c>
      <c r="E65" s="1004"/>
      <c r="F65" s="1004"/>
      <c r="G65" s="1004"/>
      <c r="H65" s="491">
        <f>IF('it pro'!E176=0,0,'it pro'!E176)</f>
        <v>0</v>
      </c>
      <c r="I65" s="451"/>
      <c r="J65" s="492"/>
      <c r="K65" s="429"/>
      <c r="L65" s="493"/>
      <c r="M65" s="494"/>
      <c r="N65" s="431"/>
      <c r="O65" s="305"/>
    </row>
    <row r="66" spans="1:15" ht="15.75" customHeight="1">
      <c r="A66" s="305"/>
      <c r="B66" s="495">
        <v>21</v>
      </c>
      <c r="C66" s="1002" t="s">
        <v>502</v>
      </c>
      <c r="D66" s="1002"/>
      <c r="E66" s="1002"/>
      <c r="F66" s="1002"/>
      <c r="G66" s="1002"/>
      <c r="H66" s="1002"/>
      <c r="I66" s="451"/>
      <c r="J66" s="428" t="s">
        <v>455</v>
      </c>
      <c r="K66" s="429"/>
      <c r="L66" s="496"/>
      <c r="M66" s="497">
        <f>IF(SUM(M59-'it pro'!E176)=0,"No Tax",SUM(M59-'it pro'!E176))</f>
        <v>23283</v>
      </c>
      <c r="N66" s="431"/>
      <c r="O66" s="305"/>
    </row>
    <row r="67" spans="1:15" ht="14.25" customHeight="1">
      <c r="A67" s="305"/>
      <c r="B67" s="1022">
        <f>IF('it pro'!E25=2,IF(AND('it pro'!P155=2,'it pro'!J162&gt;3000),"UNDERTAKING CERTIFICATE",""),"")</f>
      </c>
      <c r="C67" s="1022"/>
      <c r="D67" s="1022"/>
      <c r="E67" s="1022"/>
      <c r="F67" s="1022"/>
      <c r="G67" s="1022"/>
      <c r="H67" s="1022"/>
      <c r="I67" s="1022"/>
      <c r="J67" s="1022"/>
      <c r="K67" s="1022"/>
      <c r="L67" s="1022"/>
      <c r="M67" s="1022"/>
      <c r="N67" s="431"/>
      <c r="O67" s="305"/>
    </row>
    <row r="68" spans="1:15" s="500" customFormat="1" ht="8.25" customHeight="1">
      <c r="A68" s="498"/>
      <c r="B68" s="1019">
        <f>IF('it pro'!E25=2,IF(AND('it pro'!P155=2,'it pro'!J162&gt;3000),"This is to certify that I have paid an amount of Rs."&amp;('it pro'!K164)&amp;"/- "&amp;('it pro'!L164)&amp;"  towards House Rent for the year "&amp;('it pro'!E157)&amp;",(Rent:@"&amp;('it pro'!J162)&amp;"PM)",""),"")</f>
      </c>
      <c r="C68" s="1019"/>
      <c r="D68" s="1019"/>
      <c r="E68" s="1019"/>
      <c r="F68" s="1019"/>
      <c r="G68" s="1019"/>
      <c r="H68" s="1019"/>
      <c r="I68" s="1019"/>
      <c r="J68" s="1019"/>
      <c r="K68" s="1019"/>
      <c r="L68" s="1019"/>
      <c r="M68" s="1019"/>
      <c r="N68" s="499"/>
      <c r="O68" s="498"/>
    </row>
    <row r="69" spans="1:15" s="500" customFormat="1" ht="15.75" customHeight="1">
      <c r="A69" s="498"/>
      <c r="B69" s="1019"/>
      <c r="C69" s="1019"/>
      <c r="D69" s="1019"/>
      <c r="E69" s="1019"/>
      <c r="F69" s="1019"/>
      <c r="G69" s="1019"/>
      <c r="H69" s="1019"/>
      <c r="I69" s="1019"/>
      <c r="J69" s="1019"/>
      <c r="K69" s="1019"/>
      <c r="L69" s="1019"/>
      <c r="M69" s="1019"/>
      <c r="N69" s="499"/>
      <c r="O69" s="498"/>
    </row>
    <row r="70" spans="1:15" s="500" customFormat="1" ht="33" customHeight="1">
      <c r="A70" s="498"/>
      <c r="B70" s="1020" t="s">
        <v>503</v>
      </c>
      <c r="C70" s="1020"/>
      <c r="D70" s="1020"/>
      <c r="E70" s="1020"/>
      <c r="F70" s="1020"/>
      <c r="G70" s="1020"/>
      <c r="H70" s="1020"/>
      <c r="I70" s="451"/>
      <c r="J70" s="1021" t="s">
        <v>504</v>
      </c>
      <c r="K70" s="1021"/>
      <c r="L70" s="1021"/>
      <c r="M70" s="1021"/>
      <c r="N70" s="431"/>
      <c r="O70" s="498"/>
    </row>
    <row r="71" spans="1:15" s="500" customFormat="1" ht="8.25" customHeight="1">
      <c r="A71" s="498"/>
      <c r="B71" s="501"/>
      <c r="C71" s="502"/>
      <c r="D71" s="502"/>
      <c r="E71" s="502"/>
      <c r="F71" s="502"/>
      <c r="G71" s="502"/>
      <c r="H71" s="502"/>
      <c r="I71" s="503"/>
      <c r="J71" s="504"/>
      <c r="K71" s="504"/>
      <c r="L71" s="505"/>
      <c r="M71" s="506"/>
      <c r="N71" s="431"/>
      <c r="O71" s="498"/>
    </row>
    <row r="72" spans="1:14" s="500" customFormat="1" ht="14.25" customHeight="1">
      <c r="A72" s="498"/>
      <c r="B72"/>
      <c r="C72" s="507"/>
      <c r="D72" s="507"/>
      <c r="E72" s="507"/>
      <c r="F72" s="507"/>
      <c r="G72" s="507"/>
      <c r="H72" s="508" t="s">
        <v>505</v>
      </c>
      <c r="I72" s="507"/>
      <c r="J72" s="507"/>
      <c r="K72" s="507"/>
      <c r="L72" s="507"/>
      <c r="M72" s="507"/>
      <c r="N72" s="509"/>
    </row>
    <row r="73" spans="1:14" s="500" customFormat="1" ht="16.5">
      <c r="A73" s="498"/>
      <c r="B73" s="510"/>
      <c r="C73" s="510"/>
      <c r="D73" s="510"/>
      <c r="E73" s="510"/>
      <c r="F73" s="510"/>
      <c r="G73" s="510"/>
      <c r="H73" s="510"/>
      <c r="I73" s="510"/>
      <c r="J73" s="511"/>
      <c r="K73" s="511"/>
      <c r="L73" s="512"/>
      <c r="M73" s="513"/>
      <c r="N73" s="509"/>
    </row>
    <row r="74" spans="1:14" s="500" customFormat="1" ht="16.5">
      <c r="A74" s="498"/>
      <c r="B74" s="510"/>
      <c r="C74" s="510"/>
      <c r="D74" s="510"/>
      <c r="E74" s="510"/>
      <c r="F74" s="510"/>
      <c r="G74" s="510"/>
      <c r="H74" s="510"/>
      <c r="I74" s="510"/>
      <c r="J74" s="511"/>
      <c r="K74" s="511"/>
      <c r="L74" s="512"/>
      <c r="M74" s="513"/>
      <c r="N74" s="514"/>
    </row>
    <row r="75" spans="2:14" s="500" customFormat="1" ht="16.5">
      <c r="B75" s="515"/>
      <c r="C75" s="515"/>
      <c r="D75" s="515"/>
      <c r="E75" s="515"/>
      <c r="F75" s="515"/>
      <c r="G75" s="515"/>
      <c r="H75" s="515"/>
      <c r="I75" s="515"/>
      <c r="J75" s="516"/>
      <c r="K75" s="516"/>
      <c r="L75" s="517"/>
      <c r="M75" s="518"/>
      <c r="N75" s="514"/>
    </row>
    <row r="76" spans="2:14" s="500" customFormat="1" ht="16.5">
      <c r="B76" s="515"/>
      <c r="C76" s="515"/>
      <c r="D76" s="515"/>
      <c r="E76" s="515"/>
      <c r="F76" s="515"/>
      <c r="G76" s="515"/>
      <c r="H76" s="515"/>
      <c r="I76" s="515"/>
      <c r="J76" s="516"/>
      <c r="K76" s="516"/>
      <c r="L76" s="516"/>
      <c r="M76" s="519"/>
      <c r="N76" s="514"/>
    </row>
    <row r="77" spans="2:14" s="500" customFormat="1" ht="16.5">
      <c r="B77" s="515"/>
      <c r="C77" s="515"/>
      <c r="D77" s="515"/>
      <c r="E77" s="515"/>
      <c r="F77" s="515"/>
      <c r="G77" s="515"/>
      <c r="H77" s="515"/>
      <c r="I77" s="515"/>
      <c r="J77" s="516"/>
      <c r="K77" s="516"/>
      <c r="L77" s="516"/>
      <c r="M77" s="519"/>
      <c r="N77" s="515"/>
    </row>
    <row r="78" spans="2:14" s="500" customFormat="1" ht="16.5">
      <c r="B78" s="515"/>
      <c r="C78" s="515"/>
      <c r="D78" s="515"/>
      <c r="E78" s="515"/>
      <c r="F78" s="515"/>
      <c r="G78" s="515"/>
      <c r="H78" s="515"/>
      <c r="I78" s="515"/>
      <c r="J78" s="516"/>
      <c r="K78" s="516"/>
      <c r="L78" s="516"/>
      <c r="M78" s="519"/>
      <c r="N78" s="515"/>
    </row>
    <row r="79" spans="10:14" s="500" customFormat="1" ht="16.5">
      <c r="J79" s="516"/>
      <c r="K79" s="516"/>
      <c r="L79" s="516"/>
      <c r="M79" s="516"/>
      <c r="N79" s="515"/>
    </row>
    <row r="80" spans="10:13" s="500" customFormat="1" ht="15">
      <c r="J80" s="516"/>
      <c r="K80" s="516"/>
      <c r="L80" s="516"/>
      <c r="M80" s="516"/>
    </row>
    <row r="81" spans="10:13" s="500" customFormat="1" ht="15">
      <c r="J81" s="516"/>
      <c r="K81" s="516"/>
      <c r="L81" s="516"/>
      <c r="M81" s="516"/>
    </row>
    <row r="82" spans="10:13" s="500" customFormat="1" ht="15">
      <c r="J82" s="516"/>
      <c r="K82" s="516"/>
      <c r="L82" s="516"/>
      <c r="M82" s="516"/>
    </row>
    <row r="83" spans="10:13" s="500" customFormat="1" ht="15">
      <c r="J83" s="516"/>
      <c r="K83" s="516"/>
      <c r="L83" s="516"/>
      <c r="M83" s="516"/>
    </row>
    <row r="84" spans="10:13" s="500" customFormat="1" ht="15">
      <c r="J84" s="516"/>
      <c r="K84" s="516"/>
      <c r="L84" s="516"/>
      <c r="M84" s="516"/>
    </row>
    <row r="85" spans="10:13" s="500" customFormat="1" ht="15">
      <c r="J85" s="516"/>
      <c r="K85" s="516"/>
      <c r="L85" s="516"/>
      <c r="M85" s="516"/>
    </row>
    <row r="86" spans="10:13" s="500" customFormat="1" ht="15">
      <c r="J86" s="516"/>
      <c r="K86" s="516"/>
      <c r="L86" s="516"/>
      <c r="M86" s="516"/>
    </row>
    <row r="87" spans="10:13" s="500" customFormat="1" ht="15">
      <c r="J87" s="516"/>
      <c r="K87" s="516"/>
      <c r="L87" s="516"/>
      <c r="M87" s="516"/>
    </row>
    <row r="88" spans="10:13" s="500" customFormat="1" ht="15">
      <c r="J88" s="516"/>
      <c r="K88" s="516"/>
      <c r="L88" s="516"/>
      <c r="M88" s="516"/>
    </row>
    <row r="89" spans="10:13" s="500" customFormat="1" ht="15">
      <c r="J89" s="516"/>
      <c r="K89" s="516"/>
      <c r="L89" s="516"/>
      <c r="M89" s="516"/>
    </row>
    <row r="90" spans="10:13" s="500" customFormat="1" ht="15">
      <c r="J90" s="516"/>
      <c r="K90" s="516"/>
      <c r="L90" s="516"/>
      <c r="M90" s="516"/>
    </row>
    <row r="91" spans="2:13" s="500" customFormat="1" ht="15">
      <c r="B91" s="409"/>
      <c r="C91" s="409"/>
      <c r="D91" s="409"/>
      <c r="E91" s="409"/>
      <c r="F91" s="409"/>
      <c r="G91" s="409"/>
      <c r="H91" s="409"/>
      <c r="I91" s="409"/>
      <c r="J91" s="410"/>
      <c r="K91" s="410"/>
      <c r="L91" s="410"/>
      <c r="M91" s="410"/>
    </row>
  </sheetData>
  <sheetProtection selectLockedCells="1" selectUnlockedCells="1"/>
  <mergeCells count="57">
    <mergeCell ref="B68:M69"/>
    <mergeCell ref="B70:H70"/>
    <mergeCell ref="J70:M70"/>
    <mergeCell ref="E62:F62"/>
    <mergeCell ref="E63:F63"/>
    <mergeCell ref="E64:F64"/>
    <mergeCell ref="D65:G65"/>
    <mergeCell ref="C66:H66"/>
    <mergeCell ref="B67:M67"/>
    <mergeCell ref="C57:H57"/>
    <mergeCell ref="C58:H58"/>
    <mergeCell ref="C59:H59"/>
    <mergeCell ref="C60:H60"/>
    <mergeCell ref="E61:F61"/>
    <mergeCell ref="J61:L61"/>
    <mergeCell ref="C50:H50"/>
    <mergeCell ref="D51:H51"/>
    <mergeCell ref="P51:P52"/>
    <mergeCell ref="R51:R52"/>
    <mergeCell ref="D54:H54"/>
    <mergeCell ref="D55:H55"/>
    <mergeCell ref="D36:F36"/>
    <mergeCell ref="D37:E37"/>
    <mergeCell ref="D39:I39"/>
    <mergeCell ref="D40:I40"/>
    <mergeCell ref="C48:F48"/>
    <mergeCell ref="C49:I49"/>
    <mergeCell ref="C19:I19"/>
    <mergeCell ref="C21:I21"/>
    <mergeCell ref="C22:I22"/>
    <mergeCell ref="D31:I31"/>
    <mergeCell ref="C33:I33"/>
    <mergeCell ref="C34:I34"/>
    <mergeCell ref="C13:I13"/>
    <mergeCell ref="D14:I14"/>
    <mergeCell ref="D15:H15"/>
    <mergeCell ref="C16:I16"/>
    <mergeCell ref="C17:I17"/>
    <mergeCell ref="C18:I18"/>
    <mergeCell ref="C7:I7"/>
    <mergeCell ref="C8:I8"/>
    <mergeCell ref="D9:I9"/>
    <mergeCell ref="D10:I10"/>
    <mergeCell ref="D11:I11"/>
    <mergeCell ref="C12:I12"/>
    <mergeCell ref="B5:D5"/>
    <mergeCell ref="E5:H5"/>
    <mergeCell ref="I5:K5"/>
    <mergeCell ref="L5:M5"/>
    <mergeCell ref="C6:I6"/>
    <mergeCell ref="J6:M6"/>
    <mergeCell ref="B2:F2"/>
    <mergeCell ref="G2:L2"/>
    <mergeCell ref="B3:F3"/>
    <mergeCell ref="G3:L3"/>
    <mergeCell ref="I4:K4"/>
    <mergeCell ref="L4:M4"/>
  </mergeCells>
  <hyperlinks>
    <hyperlink ref="H72" r:id="rId1" display="www.stuapkurnool.blogspot.com"/>
  </hyperlinks>
  <printOptions horizontalCentered="1" verticalCentered="1"/>
  <pageMargins left="0.3798611111111111" right="0.2902777777777778" top="0.25" bottom="0.25" header="0.5118055555555555" footer="0.5118055555555555"/>
  <pageSetup horizontalDpi="300" verticalDpi="300" orientation="portrait" paperSize="9" scale="85"/>
  <drawing r:id="rId2"/>
</worksheet>
</file>

<file path=xl/worksheets/sheet7.xml><?xml version="1.0" encoding="utf-8"?>
<worksheet xmlns="http://schemas.openxmlformats.org/spreadsheetml/2006/main" xmlns:r="http://schemas.openxmlformats.org/officeDocument/2006/relationships">
  <sheetPr>
    <tabColor indexed="29"/>
  </sheetPr>
  <dimension ref="B1:AS110"/>
  <sheetViews>
    <sheetView showGridLines="0" zoomScalePageLayoutView="0" workbookViewId="0" topLeftCell="A83">
      <selection activeCell="E63" sqref="E63"/>
    </sheetView>
  </sheetViews>
  <sheetFormatPr defaultColWidth="9.140625" defaultRowHeight="15"/>
  <cols>
    <col min="1" max="1" width="1.421875" style="409" customWidth="1"/>
    <col min="2" max="2" width="4.28125" style="409" customWidth="1"/>
    <col min="3" max="3" width="3.421875" style="409" customWidth="1"/>
    <col min="4" max="4" width="16.140625" style="409" customWidth="1"/>
    <col min="5" max="5" width="21.28125" style="409" customWidth="1"/>
    <col min="6" max="6" width="2.8515625" style="409" customWidth="1"/>
    <col min="7" max="7" width="11.00390625" style="409" customWidth="1"/>
    <col min="8" max="8" width="0.85546875" style="409" customWidth="1"/>
    <col min="9" max="9" width="3.28125" style="409" customWidth="1"/>
    <col min="10" max="10" width="10.140625" style="409" customWidth="1"/>
    <col min="11" max="11" width="2.8515625" style="409" customWidth="1"/>
    <col min="12" max="12" width="9.28125" style="409" customWidth="1"/>
    <col min="13" max="13" width="4.28125" style="409" customWidth="1"/>
    <col min="14" max="14" width="10.7109375" style="409" customWidth="1"/>
    <col min="15" max="15" width="5.8515625" style="409" customWidth="1"/>
    <col min="16" max="24" width="10.7109375" style="409" customWidth="1"/>
    <col min="25" max="28" width="9.140625" style="409" customWidth="1"/>
    <col min="29" max="29" width="36.28125" style="409" customWidth="1"/>
    <col min="30" max="16384" width="9.140625" style="409" customWidth="1"/>
  </cols>
  <sheetData>
    <row r="1" spans="2:45" ht="34.5" customHeight="1">
      <c r="B1" s="1023" t="s">
        <v>506</v>
      </c>
      <c r="C1" s="1023"/>
      <c r="D1" s="1023"/>
      <c r="E1" s="1023"/>
      <c r="F1" s="1023"/>
      <c r="G1" s="1023"/>
      <c r="H1" s="1023"/>
      <c r="I1" s="1023"/>
      <c r="J1" s="1023"/>
      <c r="K1" s="1023"/>
      <c r="L1" s="1023"/>
      <c r="M1" s="1023"/>
      <c r="N1" s="1023"/>
      <c r="O1" s="520"/>
      <c r="P1" s="520"/>
      <c r="Q1" s="520"/>
      <c r="R1" s="520"/>
      <c r="S1" s="520"/>
      <c r="T1" s="520"/>
      <c r="U1" s="520"/>
      <c r="V1" s="520"/>
      <c r="W1" s="520"/>
      <c r="X1" s="520"/>
      <c r="Y1" s="521"/>
      <c r="Z1" s="521"/>
      <c r="AA1" s="521"/>
      <c r="AB1" s="521"/>
      <c r="AC1" s="521"/>
      <c r="AD1" s="521"/>
      <c r="AE1" s="521"/>
      <c r="AF1" s="521"/>
      <c r="AG1" s="521"/>
      <c r="AH1" s="521"/>
      <c r="AI1" s="521"/>
      <c r="AJ1" s="521"/>
      <c r="AK1" s="521"/>
      <c r="AL1" s="521"/>
      <c r="AM1" s="521"/>
      <c r="AN1" s="521"/>
      <c r="AO1" s="521"/>
      <c r="AP1" s="521"/>
      <c r="AQ1" s="521"/>
      <c r="AR1" s="521"/>
      <c r="AS1" s="521"/>
    </row>
    <row r="2" spans="2:45" ht="15" customHeight="1">
      <c r="B2" s="1024" t="s">
        <v>507</v>
      </c>
      <c r="C2" s="1024"/>
      <c r="D2" s="1024"/>
      <c r="E2" s="1024"/>
      <c r="F2" s="1024"/>
      <c r="G2" s="1024"/>
      <c r="H2" s="1024"/>
      <c r="I2" s="1024"/>
      <c r="J2" s="1024"/>
      <c r="K2" s="1024"/>
      <c r="L2" s="1024"/>
      <c r="M2" s="1024"/>
      <c r="N2" s="1024"/>
      <c r="O2" s="522"/>
      <c r="P2" s="522"/>
      <c r="Q2" s="522"/>
      <c r="R2" s="522"/>
      <c r="S2" s="522"/>
      <c r="T2" s="522"/>
      <c r="U2" s="522"/>
      <c r="V2" s="522"/>
      <c r="W2" s="522"/>
      <c r="X2" s="522"/>
      <c r="Y2" s="521"/>
      <c r="Z2" s="521"/>
      <c r="AA2" s="521"/>
      <c r="AB2" s="521"/>
      <c r="AC2" s="521"/>
      <c r="AD2" s="521"/>
      <c r="AE2" s="521"/>
      <c r="AF2" s="521"/>
      <c r="AG2" s="521"/>
      <c r="AH2" s="521"/>
      <c r="AI2" s="521"/>
      <c r="AJ2" s="521"/>
      <c r="AK2" s="521"/>
      <c r="AL2" s="521"/>
      <c r="AM2" s="521"/>
      <c r="AN2" s="521"/>
      <c r="AO2" s="521"/>
      <c r="AP2" s="521"/>
      <c r="AQ2" s="521"/>
      <c r="AR2" s="521"/>
      <c r="AS2" s="521"/>
    </row>
    <row r="3" spans="2:45" ht="12" customHeight="1">
      <c r="B3" s="1024"/>
      <c r="C3" s="1024"/>
      <c r="D3" s="1024"/>
      <c r="E3" s="1024"/>
      <c r="F3" s="1024"/>
      <c r="G3" s="1024"/>
      <c r="H3" s="1024"/>
      <c r="I3" s="1024"/>
      <c r="J3" s="1024"/>
      <c r="K3" s="1024"/>
      <c r="L3" s="1024"/>
      <c r="M3" s="1024"/>
      <c r="N3" s="1024"/>
      <c r="O3" s="522"/>
      <c r="P3" s="522"/>
      <c r="Q3" s="522"/>
      <c r="R3" s="522"/>
      <c r="S3" s="522"/>
      <c r="T3" s="522"/>
      <c r="U3" s="522"/>
      <c r="V3" s="522"/>
      <c r="W3" s="522"/>
      <c r="X3" s="522"/>
      <c r="Y3" s="521"/>
      <c r="Z3" s="521"/>
      <c r="AA3" s="521"/>
      <c r="AB3" s="521"/>
      <c r="AC3" s="521"/>
      <c r="AD3" s="521"/>
      <c r="AE3" s="521"/>
      <c r="AF3" s="521"/>
      <c r="AG3" s="521"/>
      <c r="AH3" s="521"/>
      <c r="AI3" s="521"/>
      <c r="AJ3" s="521"/>
      <c r="AK3" s="521"/>
      <c r="AL3" s="521"/>
      <c r="AM3" s="521"/>
      <c r="AN3" s="521"/>
      <c r="AO3" s="521"/>
      <c r="AP3" s="521"/>
      <c r="AQ3" s="521"/>
      <c r="AR3" s="521"/>
      <c r="AS3" s="521"/>
    </row>
    <row r="4" spans="2:45" ht="19.5" customHeight="1">
      <c r="B4" s="1025" t="s">
        <v>508</v>
      </c>
      <c r="C4" s="1025"/>
      <c r="D4" s="1025"/>
      <c r="E4" s="1025"/>
      <c r="F4" s="1025"/>
      <c r="G4" s="1025"/>
      <c r="H4" s="1025"/>
      <c r="I4" s="1026" t="s">
        <v>509</v>
      </c>
      <c r="J4" s="1026"/>
      <c r="K4" s="1026"/>
      <c r="L4" s="1026"/>
      <c r="M4" s="1026"/>
      <c r="N4" s="1026"/>
      <c r="O4" s="523"/>
      <c r="P4" s="523"/>
      <c r="Q4" s="523"/>
      <c r="R4" s="523"/>
      <c r="S4" s="523"/>
      <c r="T4" s="523"/>
      <c r="U4" s="523"/>
      <c r="V4" s="523"/>
      <c r="W4" s="523"/>
      <c r="X4" s="523"/>
      <c r="Y4" s="521"/>
      <c r="Z4" s="521"/>
      <c r="AA4" s="521"/>
      <c r="AB4" s="521"/>
      <c r="AC4" s="521"/>
      <c r="AD4" s="521"/>
      <c r="AE4" s="521"/>
      <c r="AF4" s="521"/>
      <c r="AG4" s="521"/>
      <c r="AH4" s="521"/>
      <c r="AI4" s="521"/>
      <c r="AJ4" s="521"/>
      <c r="AK4" s="521"/>
      <c r="AL4" s="521"/>
      <c r="AM4" s="521"/>
      <c r="AN4" s="521"/>
      <c r="AO4" s="521"/>
      <c r="AP4" s="521"/>
      <c r="AQ4" s="521"/>
      <c r="AR4" s="521"/>
      <c r="AS4" s="521"/>
    </row>
    <row r="5" spans="2:45" ht="2.25" customHeight="1">
      <c r="B5" s="524"/>
      <c r="C5" s="525"/>
      <c r="D5" s="525"/>
      <c r="E5" s="525"/>
      <c r="F5" s="525"/>
      <c r="G5" s="525"/>
      <c r="H5" s="525"/>
      <c r="I5" s="526"/>
      <c r="J5" s="525"/>
      <c r="K5" s="525"/>
      <c r="L5" s="525"/>
      <c r="M5" s="525"/>
      <c r="N5" s="527"/>
      <c r="O5" s="528"/>
      <c r="P5" s="528"/>
      <c r="Q5" s="528"/>
      <c r="R5" s="528"/>
      <c r="S5" s="528"/>
      <c r="T5" s="528"/>
      <c r="U5" s="528"/>
      <c r="V5" s="528"/>
      <c r="W5" s="528"/>
      <c r="X5" s="528"/>
      <c r="Y5" s="521"/>
      <c r="Z5" s="521"/>
      <c r="AA5" s="521"/>
      <c r="AB5" s="521"/>
      <c r="AC5" s="521"/>
      <c r="AD5" s="521"/>
      <c r="AE5" s="521"/>
      <c r="AF5" s="521"/>
      <c r="AG5" s="521"/>
      <c r="AH5" s="521"/>
      <c r="AI5" s="521"/>
      <c r="AJ5" s="521"/>
      <c r="AK5" s="521"/>
      <c r="AL5" s="521"/>
      <c r="AM5" s="521"/>
      <c r="AN5" s="521"/>
      <c r="AO5" s="521"/>
      <c r="AP5" s="521"/>
      <c r="AQ5" s="521"/>
      <c r="AR5" s="521"/>
      <c r="AS5" s="521"/>
    </row>
    <row r="6" spans="2:45" ht="15.75" customHeight="1">
      <c r="B6" s="1027" t="str">
        <f>'it pro'!R26</f>
        <v>Sri. </v>
      </c>
      <c r="C6" s="1027"/>
      <c r="D6" s="1027"/>
      <c r="E6" s="1027"/>
      <c r="F6" s="1027"/>
      <c r="G6" s="1027"/>
      <c r="H6" s="1027"/>
      <c r="I6" s="1028" t="str">
        <f>CONCATENATE(,'it data'!B5," ,        ","Tresury ID:",'it data'!E6)</f>
        <v>G.NAGENDRA KUMAR ,        Tresury ID:1808595</v>
      </c>
      <c r="J6" s="1028"/>
      <c r="K6" s="1028"/>
      <c r="L6" s="1028"/>
      <c r="M6" s="1028"/>
      <c r="N6" s="1028"/>
      <c r="O6" s="413"/>
      <c r="P6" s="413"/>
      <c r="Q6" s="413"/>
      <c r="R6" s="413"/>
      <c r="S6" s="413"/>
      <c r="T6" s="413"/>
      <c r="U6" s="413"/>
      <c r="V6" s="413"/>
      <c r="W6" s="413"/>
      <c r="X6" s="413"/>
      <c r="Y6" s="521"/>
      <c r="Z6" s="521"/>
      <c r="AA6" s="521"/>
      <c r="AB6" s="521"/>
      <c r="AC6" s="521"/>
      <c r="AD6" s="521"/>
      <c r="AE6" s="521"/>
      <c r="AF6" s="521"/>
      <c r="AG6" s="521"/>
      <c r="AH6" s="521"/>
      <c r="AI6" s="521"/>
      <c r="AJ6" s="521"/>
      <c r="AK6" s="521"/>
      <c r="AL6" s="521"/>
      <c r="AM6" s="521"/>
      <c r="AN6" s="521"/>
      <c r="AO6" s="521"/>
      <c r="AP6" s="521"/>
      <c r="AQ6" s="521"/>
      <c r="AR6" s="521"/>
      <c r="AS6" s="521"/>
    </row>
    <row r="7" spans="2:45" ht="15.75" customHeight="1">
      <c r="B7" s="1027" t="str">
        <f>IF('it data'!B26="","    ",'it data'!B26)</f>
        <v> </v>
      </c>
      <c r="C7" s="1027"/>
      <c r="D7" s="1027"/>
      <c r="E7" s="1027"/>
      <c r="F7" s="1027"/>
      <c r="G7" s="1027"/>
      <c r="H7" s="1027"/>
      <c r="I7" s="1029" t="str">
        <f>'it data'!E5</f>
        <v>SA </v>
      </c>
      <c r="J7" s="1029"/>
      <c r="K7" s="1029"/>
      <c r="L7" s="1029"/>
      <c r="M7" s="1029"/>
      <c r="N7" s="1029"/>
      <c r="O7" s="413"/>
      <c r="P7" s="413"/>
      <c r="Q7" s="413"/>
      <c r="R7" s="413"/>
      <c r="S7" s="413"/>
      <c r="T7" s="413"/>
      <c r="U7" s="413"/>
      <c r="V7" s="413"/>
      <c r="W7" s="413"/>
      <c r="X7" s="413"/>
      <c r="Y7" s="521"/>
      <c r="Z7" s="521"/>
      <c r="AA7" s="521"/>
      <c r="AB7" s="521"/>
      <c r="AC7" s="521"/>
      <c r="AD7" s="521"/>
      <c r="AE7" s="521"/>
      <c r="AF7" s="521"/>
      <c r="AG7" s="521"/>
      <c r="AH7" s="521"/>
      <c r="AI7" s="521"/>
      <c r="AJ7" s="521"/>
      <c r="AK7" s="521"/>
      <c r="AL7" s="521"/>
      <c r="AM7" s="521"/>
      <c r="AN7" s="521"/>
      <c r="AO7" s="521"/>
      <c r="AP7" s="521"/>
      <c r="AQ7" s="521"/>
      <c r="AR7" s="521"/>
      <c r="AS7" s="521"/>
    </row>
    <row r="8" spans="2:45" ht="15" customHeight="1">
      <c r="B8" s="1027" t="str">
        <f>'it data'!B27</f>
        <v> </v>
      </c>
      <c r="C8" s="1027"/>
      <c r="D8" s="1027"/>
      <c r="E8" s="1027"/>
      <c r="F8" s="1027"/>
      <c r="G8" s="1027"/>
      <c r="H8" s="1027"/>
      <c r="I8" s="1029" t="str">
        <f>'it data'!B6</f>
        <v>MPUPS,</v>
      </c>
      <c r="J8" s="1029"/>
      <c r="K8" s="1029"/>
      <c r="L8" s="1029"/>
      <c r="M8" s="1029"/>
      <c r="N8" s="1029"/>
      <c r="O8" s="413"/>
      <c r="P8" s="413"/>
      <c r="Q8" s="413"/>
      <c r="R8" s="413"/>
      <c r="S8" s="413"/>
      <c r="T8" s="413"/>
      <c r="U8" s="413"/>
      <c r="V8" s="413"/>
      <c r="W8" s="413"/>
      <c r="X8" s="413"/>
      <c r="Y8" s="521"/>
      <c r="Z8" s="521"/>
      <c r="AA8" s="521"/>
      <c r="AB8" s="521"/>
      <c r="AC8" s="521"/>
      <c r="AD8" s="521"/>
      <c r="AE8" s="521"/>
      <c r="AF8" s="521"/>
      <c r="AG8" s="521"/>
      <c r="AH8" s="521"/>
      <c r="AI8" s="521"/>
      <c r="AJ8" s="521"/>
      <c r="AK8" s="521"/>
      <c r="AL8" s="521"/>
      <c r="AM8" s="521"/>
      <c r="AN8" s="521"/>
      <c r="AO8" s="521"/>
      <c r="AP8" s="521"/>
      <c r="AQ8" s="521"/>
      <c r="AR8" s="521"/>
      <c r="AS8" s="521"/>
    </row>
    <row r="9" spans="2:45" ht="15" customHeight="1">
      <c r="B9" s="1027" t="str">
        <f>"Mandal: "&amp;('it data'!B7)&amp;""</f>
        <v>Mandal: NANDYAL</v>
      </c>
      <c r="C9" s="1027"/>
      <c r="D9" s="1027"/>
      <c r="E9" s="1027"/>
      <c r="F9" s="1027"/>
      <c r="G9" s="1027"/>
      <c r="H9" s="1027"/>
      <c r="I9" s="1029" t="str">
        <f>'it data'!B7</f>
        <v>NANDYAL</v>
      </c>
      <c r="J9" s="1029"/>
      <c r="K9" s="1029"/>
      <c r="L9" s="1029"/>
      <c r="M9" s="1029"/>
      <c r="N9" s="1029"/>
      <c r="O9" s="413"/>
      <c r="P9" s="413"/>
      <c r="Q9" s="413"/>
      <c r="R9" s="413"/>
      <c r="S9" s="413"/>
      <c r="T9" s="413"/>
      <c r="U9" s="413"/>
      <c r="V9" s="413"/>
      <c r="W9" s="413"/>
      <c r="X9" s="413"/>
      <c r="Y9" s="521"/>
      <c r="Z9" s="521"/>
      <c r="AA9" s="521"/>
      <c r="AB9" s="521"/>
      <c r="AC9" s="521"/>
      <c r="AD9" s="521"/>
      <c r="AE9" s="521"/>
      <c r="AF9" s="521"/>
      <c r="AG9" s="521"/>
      <c r="AH9" s="521"/>
      <c r="AI9" s="521"/>
      <c r="AJ9" s="521"/>
      <c r="AK9" s="521"/>
      <c r="AL9" s="521"/>
      <c r="AM9" s="521"/>
      <c r="AN9" s="521"/>
      <c r="AO9" s="521"/>
      <c r="AP9" s="521"/>
      <c r="AQ9" s="521"/>
      <c r="AR9" s="521"/>
      <c r="AS9" s="521"/>
    </row>
    <row r="10" spans="2:45" ht="1.5" customHeight="1">
      <c r="B10" s="1030"/>
      <c r="C10" s="1030"/>
      <c r="D10" s="1030"/>
      <c r="E10" s="1030"/>
      <c r="F10" s="1030"/>
      <c r="G10" s="1030"/>
      <c r="H10" s="1030"/>
      <c r="I10" s="1031"/>
      <c r="J10" s="1031"/>
      <c r="K10" s="1031"/>
      <c r="L10" s="1031"/>
      <c r="M10" s="1031"/>
      <c r="N10" s="1031"/>
      <c r="O10" s="413"/>
      <c r="P10" s="413"/>
      <c r="Q10" s="413"/>
      <c r="R10" s="413"/>
      <c r="S10" s="413"/>
      <c r="T10" s="413"/>
      <c r="U10" s="413"/>
      <c r="V10" s="413"/>
      <c r="W10" s="413"/>
      <c r="X10" s="413"/>
      <c r="Y10" s="521"/>
      <c r="Z10" s="521"/>
      <c r="AA10" s="521"/>
      <c r="AB10" s="521"/>
      <c r="AC10" s="521"/>
      <c r="AD10" s="521"/>
      <c r="AE10" s="521"/>
      <c r="AF10" s="521"/>
      <c r="AG10" s="521"/>
      <c r="AH10" s="521"/>
      <c r="AI10" s="521"/>
      <c r="AJ10" s="521"/>
      <c r="AK10" s="521"/>
      <c r="AL10" s="521"/>
      <c r="AM10" s="521"/>
      <c r="AN10" s="521"/>
      <c r="AO10" s="521"/>
      <c r="AP10" s="521"/>
      <c r="AQ10" s="521"/>
      <c r="AR10" s="521"/>
      <c r="AS10" s="521"/>
    </row>
    <row r="11" spans="2:45" ht="18" customHeight="1">
      <c r="B11" s="1032" t="s">
        <v>510</v>
      </c>
      <c r="C11" s="1032"/>
      <c r="D11" s="1032"/>
      <c r="E11" s="1033">
        <f>IF(ISBLANK('it data'!B28),"",'it data'!B28)</f>
      </c>
      <c r="F11" s="1033"/>
      <c r="G11" s="1033"/>
      <c r="H11" s="529"/>
      <c r="I11" s="1034" t="s">
        <v>511</v>
      </c>
      <c r="J11" s="1034"/>
      <c r="K11" s="1034"/>
      <c r="L11" s="1035" t="str">
        <f>IF(ISBLANK('it data'!B8),"",'it data'!B8)</f>
        <v> </v>
      </c>
      <c r="M11" s="1035"/>
      <c r="N11" s="1035"/>
      <c r="O11" s="523"/>
      <c r="P11" s="523"/>
      <c r="Q11" s="523"/>
      <c r="R11" s="523"/>
      <c r="S11" s="523"/>
      <c r="T11" s="523"/>
      <c r="U11" s="523"/>
      <c r="V11" s="523"/>
      <c r="W11" s="523"/>
      <c r="X11" s="523"/>
      <c r="Y11" s="521"/>
      <c r="Z11" s="521"/>
      <c r="AA11" s="521"/>
      <c r="AB11" s="521"/>
      <c r="AC11" s="521"/>
      <c r="AD11" s="521"/>
      <c r="AE11" s="521"/>
      <c r="AF11" s="521"/>
      <c r="AG11" s="521"/>
      <c r="AH11" s="521"/>
      <c r="AI11" s="521"/>
      <c r="AJ11" s="521"/>
      <c r="AK11" s="521"/>
      <c r="AL11" s="521"/>
      <c r="AM11" s="521"/>
      <c r="AN11" s="521"/>
      <c r="AO11" s="521"/>
      <c r="AP11" s="521"/>
      <c r="AQ11" s="521"/>
      <c r="AR11" s="521"/>
      <c r="AS11" s="521"/>
    </row>
    <row r="12" spans="2:45" ht="27" customHeight="1">
      <c r="B12" s="1036" t="s">
        <v>512</v>
      </c>
      <c r="C12" s="1036"/>
      <c r="D12" s="1036"/>
      <c r="E12" s="1036"/>
      <c r="F12" s="1036"/>
      <c r="G12" s="1036"/>
      <c r="H12" s="1036"/>
      <c r="I12" s="1036"/>
      <c r="J12" s="1036"/>
      <c r="K12" s="1036"/>
      <c r="L12" s="1036"/>
      <c r="M12" s="1036"/>
      <c r="N12" s="1036"/>
      <c r="O12" s="530"/>
      <c r="P12" s="530"/>
      <c r="Q12" s="530"/>
      <c r="R12" s="530"/>
      <c r="S12" s="530"/>
      <c r="T12" s="530"/>
      <c r="U12" s="530"/>
      <c r="V12" s="530"/>
      <c r="W12" s="530"/>
      <c r="X12" s="530"/>
      <c r="Y12" s="521"/>
      <c r="Z12" s="521"/>
      <c r="AA12" s="521"/>
      <c r="AB12" s="521"/>
      <c r="AC12" s="521"/>
      <c r="AD12" s="521"/>
      <c r="AE12" s="521"/>
      <c r="AF12" s="521"/>
      <c r="AG12" s="521"/>
      <c r="AH12" s="521"/>
      <c r="AI12" s="521"/>
      <c r="AJ12" s="521"/>
      <c r="AK12" s="521"/>
      <c r="AL12" s="521"/>
      <c r="AM12" s="521"/>
      <c r="AN12" s="521"/>
      <c r="AO12" s="521"/>
      <c r="AP12" s="521"/>
      <c r="AQ12" s="521"/>
      <c r="AR12" s="521"/>
      <c r="AS12" s="521"/>
    </row>
    <row r="13" spans="2:45" ht="15.75" customHeight="1">
      <c r="B13" s="1037" t="s">
        <v>513</v>
      </c>
      <c r="C13" s="1037"/>
      <c r="D13" s="1037"/>
      <c r="E13" s="531" t="s">
        <v>514</v>
      </c>
      <c r="F13" s="1038" t="s">
        <v>515</v>
      </c>
      <c r="G13" s="1038"/>
      <c r="H13" s="529"/>
      <c r="I13" s="1039" t="s">
        <v>516</v>
      </c>
      <c r="J13" s="1039"/>
      <c r="K13" s="1039"/>
      <c r="L13" s="1039"/>
      <c r="M13" s="1040" t="s">
        <v>517</v>
      </c>
      <c r="N13" s="1040"/>
      <c r="O13" s="523"/>
      <c r="P13" s="523"/>
      <c r="Q13" s="523"/>
      <c r="R13" s="523"/>
      <c r="S13" s="523"/>
      <c r="T13" s="523"/>
      <c r="U13" s="523"/>
      <c r="V13" s="523"/>
      <c r="W13" s="523"/>
      <c r="X13" s="523"/>
      <c r="Y13" s="521"/>
      <c r="Z13" s="521"/>
      <c r="AA13" s="521"/>
      <c r="AB13" s="521"/>
      <c r="AC13" s="521"/>
      <c r="AD13" s="521"/>
      <c r="AE13" s="521"/>
      <c r="AF13" s="521"/>
      <c r="AG13" s="521"/>
      <c r="AH13" s="521"/>
      <c r="AI13" s="521"/>
      <c r="AJ13" s="521"/>
      <c r="AK13" s="521"/>
      <c r="AL13" s="521"/>
      <c r="AM13" s="521"/>
      <c r="AN13" s="521"/>
      <c r="AO13" s="521"/>
      <c r="AP13" s="521"/>
      <c r="AQ13" s="521"/>
      <c r="AR13" s="521"/>
      <c r="AS13" s="521"/>
    </row>
    <row r="14" spans="2:45" ht="12.75" customHeight="1">
      <c r="B14" s="1037">
        <v>1</v>
      </c>
      <c r="C14" s="1037"/>
      <c r="D14" s="1037"/>
      <c r="E14" s="532"/>
      <c r="F14" s="1041"/>
      <c r="G14" s="1041"/>
      <c r="H14" s="533"/>
      <c r="I14" s="1042" t="s">
        <v>92</v>
      </c>
      <c r="J14" s="1042"/>
      <c r="K14" s="1039" t="s">
        <v>518</v>
      </c>
      <c r="L14" s="1039"/>
      <c r="M14" s="1043" t="s">
        <v>519</v>
      </c>
      <c r="N14" s="1043"/>
      <c r="O14" s="523"/>
      <c r="P14" s="523"/>
      <c r="Q14" s="523"/>
      <c r="R14" s="523"/>
      <c r="S14" s="523"/>
      <c r="T14" s="523"/>
      <c r="U14" s="523"/>
      <c r="V14" s="523"/>
      <c r="W14" s="523"/>
      <c r="X14" s="523"/>
      <c r="Y14" s="521"/>
      <c r="Z14" s="521"/>
      <c r="AA14" s="521"/>
      <c r="AB14" s="521"/>
      <c r="AC14" s="521"/>
      <c r="AD14" s="521"/>
      <c r="AE14" s="521"/>
      <c r="AF14" s="521"/>
      <c r="AG14" s="521"/>
      <c r="AH14" s="521"/>
      <c r="AI14" s="521"/>
      <c r="AJ14" s="521"/>
      <c r="AK14" s="521"/>
      <c r="AL14" s="521"/>
      <c r="AM14" s="521"/>
      <c r="AN14" s="521"/>
      <c r="AO14" s="521"/>
      <c r="AP14" s="521"/>
      <c r="AQ14" s="521"/>
      <c r="AR14" s="521"/>
      <c r="AS14" s="521"/>
    </row>
    <row r="15" spans="2:45" ht="11.25" customHeight="1">
      <c r="B15" s="1044">
        <v>2</v>
      </c>
      <c r="C15" s="1044"/>
      <c r="D15" s="1044"/>
      <c r="E15" s="532"/>
      <c r="F15" s="1041"/>
      <c r="G15" s="1041"/>
      <c r="H15" s="533"/>
      <c r="I15" s="1045" t="str">
        <f>'it pro'!D169</f>
        <v>Mar,14</v>
      </c>
      <c r="J15" s="1045"/>
      <c r="K15" s="1046" t="str">
        <f>'it pro'!D170</f>
        <v>Feb,15</v>
      </c>
      <c r="L15" s="1046"/>
      <c r="M15" s="1047" t="str">
        <f>'it pro'!E158</f>
        <v> 2015-2016</v>
      </c>
      <c r="N15" s="1047"/>
      <c r="O15" s="534"/>
      <c r="P15" s="534"/>
      <c r="Q15" s="534"/>
      <c r="R15" s="534"/>
      <c r="S15" s="534"/>
      <c r="T15" s="534"/>
      <c r="U15" s="534"/>
      <c r="V15" s="534"/>
      <c r="W15" s="534"/>
      <c r="X15" s="534"/>
      <c r="Y15" s="521"/>
      <c r="Z15" s="521"/>
      <c r="AA15" s="521"/>
      <c r="AB15" s="521"/>
      <c r="AC15" s="521"/>
      <c r="AD15" s="521"/>
      <c r="AE15" s="521"/>
      <c r="AF15" s="521"/>
      <c r="AG15" s="521"/>
      <c r="AH15" s="521"/>
      <c r="AI15" s="521"/>
      <c r="AJ15" s="521"/>
      <c r="AK15" s="521"/>
      <c r="AL15" s="521"/>
      <c r="AM15" s="521"/>
      <c r="AN15" s="521"/>
      <c r="AO15" s="521"/>
      <c r="AP15" s="521"/>
      <c r="AQ15" s="521"/>
      <c r="AR15" s="521"/>
      <c r="AS15" s="521"/>
    </row>
    <row r="16" spans="2:45" ht="11.25" customHeight="1">
      <c r="B16" s="1044">
        <v>3</v>
      </c>
      <c r="C16" s="1044"/>
      <c r="D16" s="1044"/>
      <c r="E16" s="532"/>
      <c r="F16" s="1041"/>
      <c r="G16" s="1041"/>
      <c r="H16" s="533"/>
      <c r="I16" s="1045"/>
      <c r="J16" s="1045"/>
      <c r="K16" s="1046"/>
      <c r="L16" s="1046"/>
      <c r="M16" s="1047"/>
      <c r="N16" s="1047"/>
      <c r="O16" s="534"/>
      <c r="P16" s="534"/>
      <c r="Q16" s="534"/>
      <c r="R16" s="534"/>
      <c r="S16" s="534"/>
      <c r="T16" s="534"/>
      <c r="U16" s="534"/>
      <c r="V16" s="534"/>
      <c r="W16" s="534"/>
      <c r="X16" s="534"/>
      <c r="Y16" s="521"/>
      <c r="Z16" s="521"/>
      <c r="AA16" s="521"/>
      <c r="AB16" s="521"/>
      <c r="AC16" s="521"/>
      <c r="AD16" s="521"/>
      <c r="AE16" s="521"/>
      <c r="AF16" s="521"/>
      <c r="AG16" s="521"/>
      <c r="AH16" s="521"/>
      <c r="AI16" s="521"/>
      <c r="AJ16" s="521"/>
      <c r="AK16" s="521"/>
      <c r="AL16" s="521"/>
      <c r="AM16" s="521"/>
      <c r="AN16" s="521"/>
      <c r="AO16" s="521"/>
      <c r="AP16" s="521"/>
      <c r="AQ16" s="521"/>
      <c r="AR16" s="521"/>
      <c r="AS16" s="521"/>
    </row>
    <row r="17" spans="2:45" ht="12" customHeight="1">
      <c r="B17" s="1044">
        <v>4</v>
      </c>
      <c r="C17" s="1044"/>
      <c r="D17" s="1044"/>
      <c r="E17" s="532"/>
      <c r="F17" s="1041"/>
      <c r="G17" s="1041"/>
      <c r="H17" s="533"/>
      <c r="I17" s="1045"/>
      <c r="J17" s="1045"/>
      <c r="K17" s="1046"/>
      <c r="L17" s="1046"/>
      <c r="M17" s="1047"/>
      <c r="N17" s="1047"/>
      <c r="O17" s="534"/>
      <c r="P17" s="534"/>
      <c r="Q17" s="534"/>
      <c r="R17" s="534"/>
      <c r="S17" s="534"/>
      <c r="T17" s="534"/>
      <c r="U17" s="534"/>
      <c r="V17" s="534"/>
      <c r="W17" s="534"/>
      <c r="X17" s="534"/>
      <c r="Y17" s="521"/>
      <c r="Z17" s="521"/>
      <c r="AA17" s="521"/>
      <c r="AB17" s="521"/>
      <c r="AC17" s="521"/>
      <c r="AD17" s="521"/>
      <c r="AE17" s="521"/>
      <c r="AF17" s="521"/>
      <c r="AG17" s="521"/>
      <c r="AH17" s="521"/>
      <c r="AI17" s="521"/>
      <c r="AJ17" s="521"/>
      <c r="AK17" s="521"/>
      <c r="AL17" s="521"/>
      <c r="AM17" s="521"/>
      <c r="AN17" s="521"/>
      <c r="AO17" s="521"/>
      <c r="AP17" s="521"/>
      <c r="AQ17" s="521"/>
      <c r="AR17" s="521"/>
      <c r="AS17" s="521"/>
    </row>
    <row r="18" spans="2:45" ht="18.75" customHeight="1">
      <c r="B18" s="1048" t="s">
        <v>520</v>
      </c>
      <c r="C18" s="1048"/>
      <c r="D18" s="1048"/>
      <c r="E18" s="1048"/>
      <c r="F18" s="1048"/>
      <c r="G18" s="1048"/>
      <c r="H18" s="1048"/>
      <c r="I18" s="1048"/>
      <c r="J18" s="1048"/>
      <c r="K18" s="1048"/>
      <c r="L18" s="1048"/>
      <c r="M18" s="1048"/>
      <c r="N18" s="1048"/>
      <c r="O18" s="535"/>
      <c r="P18" s="535"/>
      <c r="Q18" s="535"/>
      <c r="R18" s="536"/>
      <c r="S18" s="535"/>
      <c r="T18" s="535"/>
      <c r="U18" s="535"/>
      <c r="V18" s="535"/>
      <c r="W18" s="535"/>
      <c r="X18" s="535"/>
      <c r="Y18" s="537"/>
      <c r="Z18" s="537"/>
      <c r="AA18" s="521"/>
      <c r="AB18" s="521"/>
      <c r="AC18" s="521"/>
      <c r="AD18" s="521"/>
      <c r="AE18" s="521"/>
      <c r="AF18" s="521"/>
      <c r="AG18" s="521"/>
      <c r="AH18" s="521"/>
      <c r="AI18" s="521"/>
      <c r="AJ18" s="521"/>
      <c r="AK18" s="521"/>
      <c r="AL18" s="521"/>
      <c r="AM18" s="521"/>
      <c r="AN18" s="521"/>
      <c r="AO18" s="521"/>
      <c r="AP18" s="521"/>
      <c r="AQ18" s="521"/>
      <c r="AR18" s="521"/>
      <c r="AS18" s="521"/>
    </row>
    <row r="19" spans="2:45" ht="3.75" customHeight="1">
      <c r="B19" s="1049"/>
      <c r="C19" s="1049"/>
      <c r="D19" s="1049"/>
      <c r="E19" s="1049"/>
      <c r="F19" s="1049"/>
      <c r="G19" s="1049"/>
      <c r="H19" s="1049"/>
      <c r="I19" s="1049"/>
      <c r="J19" s="1049"/>
      <c r="K19" s="1049"/>
      <c r="L19" s="1049"/>
      <c r="M19" s="1049"/>
      <c r="N19" s="1049"/>
      <c r="O19" s="422"/>
      <c r="P19" s="422"/>
      <c r="Q19" s="422"/>
      <c r="R19" s="422"/>
      <c r="S19" s="422"/>
      <c r="T19" s="422"/>
      <c r="U19" s="422"/>
      <c r="V19" s="422"/>
      <c r="W19" s="422"/>
      <c r="X19" s="422"/>
      <c r="Y19" s="521"/>
      <c r="Z19" s="521"/>
      <c r="AA19" s="521"/>
      <c r="AB19" s="521"/>
      <c r="AC19" s="521"/>
      <c r="AD19" s="521"/>
      <c r="AE19" s="521"/>
      <c r="AF19" s="521"/>
      <c r="AG19" s="521"/>
      <c r="AH19" s="521"/>
      <c r="AI19" s="521"/>
      <c r="AJ19" s="521"/>
      <c r="AK19" s="521"/>
      <c r="AL19" s="521"/>
      <c r="AM19" s="521"/>
      <c r="AN19" s="521"/>
      <c r="AO19" s="521"/>
      <c r="AP19" s="521"/>
      <c r="AQ19" s="521"/>
      <c r="AR19" s="521"/>
      <c r="AS19" s="521"/>
    </row>
    <row r="20" spans="2:45" ht="15" customHeight="1">
      <c r="B20" s="421">
        <v>1</v>
      </c>
      <c r="C20" s="1050" t="s">
        <v>521</v>
      </c>
      <c r="D20" s="1050"/>
      <c r="E20" s="451"/>
      <c r="F20" s="451"/>
      <c r="G20" s="451"/>
      <c r="H20" s="451"/>
      <c r="I20" s="539" t="s">
        <v>455</v>
      </c>
      <c r="J20" s="540">
        <f>'ITAnnexure-II'!M7</f>
        <v>541788</v>
      </c>
      <c r="K20" s="541"/>
      <c r="L20" s="542"/>
      <c r="M20" s="541"/>
      <c r="N20" s="543"/>
      <c r="O20" s="544"/>
      <c r="P20" s="544"/>
      <c r="Q20" s="544"/>
      <c r="R20" s="544"/>
      <c r="S20" s="544"/>
      <c r="T20" s="544"/>
      <c r="U20" s="544"/>
      <c r="V20" s="544"/>
      <c r="W20" s="544"/>
      <c r="X20" s="544"/>
      <c r="Y20" s="521"/>
      <c r="Z20" s="521"/>
      <c r="AA20" s="521"/>
      <c r="AB20" s="521"/>
      <c r="AC20" s="521"/>
      <c r="AD20" s="521"/>
      <c r="AE20" s="521"/>
      <c r="AF20" s="521"/>
      <c r="AG20" s="521"/>
      <c r="AH20" s="521"/>
      <c r="AI20" s="521"/>
      <c r="AJ20" s="521"/>
      <c r="AK20" s="521"/>
      <c r="AL20" s="521"/>
      <c r="AM20" s="521"/>
      <c r="AN20" s="521"/>
      <c r="AO20" s="521"/>
      <c r="AP20" s="521"/>
      <c r="AQ20" s="521"/>
      <c r="AR20" s="521"/>
      <c r="AS20" s="521"/>
    </row>
    <row r="21" spans="2:45" ht="15" customHeight="1">
      <c r="B21" s="421"/>
      <c r="C21" s="545" t="s">
        <v>457</v>
      </c>
      <c r="D21" s="1015" t="s">
        <v>522</v>
      </c>
      <c r="E21" s="1015"/>
      <c r="F21" s="1015"/>
      <c r="G21" s="1015"/>
      <c r="H21" s="1015"/>
      <c r="I21" s="546" t="s">
        <v>455</v>
      </c>
      <c r="J21" s="547">
        <v>0</v>
      </c>
      <c r="K21" s="541"/>
      <c r="L21" s="542"/>
      <c r="M21" s="541"/>
      <c r="N21" s="543"/>
      <c r="O21" s="544"/>
      <c r="P21" s="544"/>
      <c r="Q21" s="544"/>
      <c r="R21" s="544"/>
      <c r="S21" s="544"/>
      <c r="T21" s="544"/>
      <c r="U21" s="544"/>
      <c r="V21" s="544"/>
      <c r="W21" s="544"/>
      <c r="X21" s="544"/>
      <c r="Y21" s="521"/>
      <c r="Z21" s="521"/>
      <c r="AA21" s="521"/>
      <c r="AB21" s="521"/>
      <c r="AC21" s="521"/>
      <c r="AD21" s="521"/>
      <c r="AE21" s="521"/>
      <c r="AF21" s="521"/>
      <c r="AG21" s="521"/>
      <c r="AH21" s="521"/>
      <c r="AI21" s="521"/>
      <c r="AJ21" s="521"/>
      <c r="AK21" s="521"/>
      <c r="AL21" s="521"/>
      <c r="AM21" s="521"/>
      <c r="AN21" s="521"/>
      <c r="AO21" s="521"/>
      <c r="AP21" s="521"/>
      <c r="AQ21" s="521"/>
      <c r="AR21" s="521"/>
      <c r="AS21" s="521"/>
    </row>
    <row r="22" spans="2:45" ht="15" customHeight="1">
      <c r="B22" s="421"/>
      <c r="C22" s="545" t="s">
        <v>459</v>
      </c>
      <c r="D22" s="1015" t="s">
        <v>523</v>
      </c>
      <c r="E22" s="1015"/>
      <c r="F22" s="1015"/>
      <c r="G22" s="1015"/>
      <c r="H22" s="1015"/>
      <c r="I22" s="546" t="s">
        <v>455</v>
      </c>
      <c r="J22" s="547">
        <v>0</v>
      </c>
      <c r="K22" s="541"/>
      <c r="L22" s="542"/>
      <c r="M22" s="541"/>
      <c r="N22" s="543"/>
      <c r="O22" s="544"/>
      <c r="P22" s="544"/>
      <c r="Q22" s="544"/>
      <c r="R22" s="544"/>
      <c r="S22" s="544"/>
      <c r="T22" s="544"/>
      <c r="U22" s="544"/>
      <c r="V22" s="544"/>
      <c r="W22" s="544"/>
      <c r="X22" s="544"/>
      <c r="Y22" s="521"/>
      <c r="Z22" s="521"/>
      <c r="AA22" s="521"/>
      <c r="AB22" s="521"/>
      <c r="AC22" s="521"/>
      <c r="AD22" s="521"/>
      <c r="AE22" s="521"/>
      <c r="AF22" s="521"/>
      <c r="AG22" s="521"/>
      <c r="AH22" s="521"/>
      <c r="AI22" s="521"/>
      <c r="AJ22" s="521"/>
      <c r="AK22" s="521"/>
      <c r="AL22" s="521"/>
      <c r="AM22" s="521"/>
      <c r="AN22" s="521"/>
      <c r="AO22" s="521"/>
      <c r="AP22" s="521"/>
      <c r="AQ22" s="521"/>
      <c r="AR22" s="521"/>
      <c r="AS22" s="521"/>
    </row>
    <row r="23" spans="2:45" ht="13.5" customHeight="1">
      <c r="B23" s="421"/>
      <c r="C23" s="545"/>
      <c r="D23" s="1015" t="s">
        <v>524</v>
      </c>
      <c r="E23" s="1015"/>
      <c r="F23" s="1015"/>
      <c r="G23" s="1015"/>
      <c r="H23" s="1015"/>
      <c r="I23" s="548"/>
      <c r="J23" s="549">
        <v>0</v>
      </c>
      <c r="K23" s="541"/>
      <c r="L23" s="542"/>
      <c r="M23" s="541"/>
      <c r="N23" s="543"/>
      <c r="O23" s="544"/>
      <c r="P23" s="544"/>
      <c r="Q23" s="544"/>
      <c r="R23" s="544"/>
      <c r="S23" s="544"/>
      <c r="T23" s="544"/>
      <c r="U23" s="544"/>
      <c r="V23" s="544"/>
      <c r="AF23" s="521"/>
      <c r="AG23" s="521"/>
      <c r="AH23" s="521"/>
      <c r="AI23" s="521"/>
      <c r="AJ23" s="521"/>
      <c r="AK23" s="521"/>
      <c r="AL23" s="521"/>
      <c r="AM23" s="521"/>
      <c r="AN23" s="521"/>
      <c r="AO23" s="521"/>
      <c r="AP23" s="521"/>
      <c r="AQ23" s="521"/>
      <c r="AR23" s="521"/>
      <c r="AS23" s="521"/>
    </row>
    <row r="24" spans="2:45" ht="15" customHeight="1">
      <c r="B24" s="421"/>
      <c r="C24" s="545" t="s">
        <v>460</v>
      </c>
      <c r="D24" s="1015" t="s">
        <v>525</v>
      </c>
      <c r="E24" s="1015"/>
      <c r="F24" s="1015"/>
      <c r="G24" s="1015"/>
      <c r="H24" s="1015"/>
      <c r="I24" s="546" t="s">
        <v>455</v>
      </c>
      <c r="J24" s="547">
        <v>0</v>
      </c>
      <c r="K24" s="541"/>
      <c r="L24" s="542"/>
      <c r="M24" s="541"/>
      <c r="N24" s="543"/>
      <c r="O24" s="544"/>
      <c r="P24" s="544"/>
      <c r="Q24" s="544"/>
      <c r="R24" s="544"/>
      <c r="S24" s="544"/>
      <c r="T24" s="544"/>
      <c r="U24" s="544"/>
      <c r="V24" s="544"/>
      <c r="AF24" s="521"/>
      <c r="AG24" s="521"/>
      <c r="AH24" s="521"/>
      <c r="AI24" s="521"/>
      <c r="AJ24" s="521"/>
      <c r="AK24" s="521"/>
      <c r="AL24" s="521"/>
      <c r="AM24" s="521"/>
      <c r="AN24" s="521"/>
      <c r="AO24" s="521"/>
      <c r="AP24" s="521"/>
      <c r="AQ24" s="521"/>
      <c r="AR24" s="521"/>
      <c r="AS24" s="521"/>
    </row>
    <row r="25" spans="2:45" ht="12" customHeight="1">
      <c r="B25" s="421"/>
      <c r="C25" s="545"/>
      <c r="D25" s="1015" t="s">
        <v>526</v>
      </c>
      <c r="E25" s="1015"/>
      <c r="F25" s="1015"/>
      <c r="G25" s="1015"/>
      <c r="H25" s="1015"/>
      <c r="I25" s="550"/>
      <c r="J25" s="551"/>
      <c r="K25" s="541"/>
      <c r="L25" s="542"/>
      <c r="M25" s="541"/>
      <c r="N25" s="543"/>
      <c r="O25" s="544"/>
      <c r="P25" s="544"/>
      <c r="Q25" s="544"/>
      <c r="R25" s="544"/>
      <c r="S25" s="544"/>
      <c r="T25" s="544"/>
      <c r="U25" s="544"/>
      <c r="V25" s="544"/>
      <c r="AF25" s="521"/>
      <c r="AG25" s="521"/>
      <c r="AH25" s="521"/>
      <c r="AI25" s="521"/>
      <c r="AJ25" s="521"/>
      <c r="AK25" s="521"/>
      <c r="AL25" s="521"/>
      <c r="AM25" s="521"/>
      <c r="AN25" s="521"/>
      <c r="AO25" s="521"/>
      <c r="AP25" s="521"/>
      <c r="AQ25" s="521"/>
      <c r="AR25" s="521"/>
      <c r="AS25" s="521"/>
    </row>
    <row r="26" spans="2:45" ht="15" customHeight="1">
      <c r="B26" s="421"/>
      <c r="C26" s="545" t="s">
        <v>474</v>
      </c>
      <c r="D26" s="468" t="s">
        <v>213</v>
      </c>
      <c r="E26" s="451"/>
      <c r="F26" s="451"/>
      <c r="G26" s="451"/>
      <c r="H26" s="451"/>
      <c r="I26" s="552" t="s">
        <v>455</v>
      </c>
      <c r="J26" s="553">
        <f>J20+J21+J22+J24</f>
        <v>541788</v>
      </c>
      <c r="K26" s="541"/>
      <c r="L26" s="542"/>
      <c r="M26" s="541" t="s">
        <v>455</v>
      </c>
      <c r="N26" s="554">
        <f>J26</f>
        <v>541788</v>
      </c>
      <c r="O26" s="555"/>
      <c r="P26" s="555"/>
      <c r="Q26" s="555"/>
      <c r="R26" s="555"/>
      <c r="S26" s="555"/>
      <c r="T26" s="555"/>
      <c r="U26" s="555"/>
      <c r="V26" s="555"/>
      <c r="AF26" s="521"/>
      <c r="AG26" s="521"/>
      <c r="AH26" s="521"/>
      <c r="AI26" s="521"/>
      <c r="AJ26" s="521"/>
      <c r="AK26" s="521"/>
      <c r="AL26" s="521"/>
      <c r="AM26" s="521"/>
      <c r="AN26" s="521"/>
      <c r="AO26" s="521"/>
      <c r="AP26" s="521"/>
      <c r="AQ26" s="521"/>
      <c r="AR26" s="521"/>
      <c r="AS26" s="521"/>
    </row>
    <row r="27" spans="2:45" ht="15" customHeight="1">
      <c r="B27" s="421">
        <v>2</v>
      </c>
      <c r="C27" s="1051" t="s">
        <v>527</v>
      </c>
      <c r="D27" s="1051"/>
      <c r="E27" s="1051"/>
      <c r="F27" s="1051"/>
      <c r="G27" s="1051"/>
      <c r="H27" s="1051"/>
      <c r="I27" s="556"/>
      <c r="J27" s="557"/>
      <c r="K27" s="558"/>
      <c r="L27" s="542"/>
      <c r="M27" s="541"/>
      <c r="N27" s="543"/>
      <c r="O27" s="544"/>
      <c r="P27" s="544"/>
      <c r="Q27" s="544"/>
      <c r="R27" s="544"/>
      <c r="S27" s="544"/>
      <c r="T27" s="544"/>
      <c r="U27" s="544"/>
      <c r="V27" s="544"/>
      <c r="AF27" s="521"/>
      <c r="AG27" s="521"/>
      <c r="AH27" s="521"/>
      <c r="AI27" s="521"/>
      <c r="AJ27" s="521"/>
      <c r="AK27" s="521"/>
      <c r="AL27" s="521"/>
      <c r="AM27" s="521"/>
      <c r="AN27" s="521"/>
      <c r="AO27" s="521"/>
      <c r="AP27" s="521"/>
      <c r="AQ27" s="521"/>
      <c r="AR27" s="521"/>
      <c r="AS27" s="521"/>
    </row>
    <row r="28" spans="2:45" ht="15" customHeight="1">
      <c r="B28" s="421"/>
      <c r="C28" s="545" t="s">
        <v>457</v>
      </c>
      <c r="D28" s="484" t="s">
        <v>528</v>
      </c>
      <c r="E28" s="484"/>
      <c r="F28" s="559"/>
      <c r="G28" s="559"/>
      <c r="H28" s="560"/>
      <c r="I28" s="561" t="s">
        <v>455</v>
      </c>
      <c r="J28" s="562">
        <f>'ITAnnexure-II'!M11</f>
        <v>30056</v>
      </c>
      <c r="K28" s="558"/>
      <c r="L28" s="542"/>
      <c r="M28" s="541"/>
      <c r="N28" s="543"/>
      <c r="O28" s="544"/>
      <c r="P28" s="544"/>
      <c r="Q28" s="544"/>
      <c r="R28" s="544"/>
      <c r="S28" s="544"/>
      <c r="T28" s="544"/>
      <c r="U28" s="544"/>
      <c r="V28" s="544"/>
      <c r="AF28" s="521"/>
      <c r="AG28" s="521"/>
      <c r="AH28" s="521"/>
      <c r="AI28" s="521"/>
      <c r="AJ28" s="521"/>
      <c r="AK28" s="521"/>
      <c r="AL28" s="521"/>
      <c r="AM28" s="521"/>
      <c r="AN28" s="521"/>
      <c r="AO28" s="521"/>
      <c r="AP28" s="521"/>
      <c r="AQ28" s="521"/>
      <c r="AR28" s="521"/>
      <c r="AS28" s="521"/>
    </row>
    <row r="29" spans="2:45" ht="15" customHeight="1">
      <c r="B29" s="421"/>
      <c r="C29" s="545" t="s">
        <v>459</v>
      </c>
      <c r="D29" s="1015" t="s">
        <v>529</v>
      </c>
      <c r="E29" s="1015"/>
      <c r="F29" s="484"/>
      <c r="G29" s="559"/>
      <c r="H29" s="560"/>
      <c r="I29" s="561" t="s">
        <v>455</v>
      </c>
      <c r="J29" s="562">
        <f>'ITAnnexure-II'!L14</f>
        <v>0</v>
      </c>
      <c r="K29" s="558"/>
      <c r="L29" s="542"/>
      <c r="M29" s="563" t="s">
        <v>455</v>
      </c>
      <c r="N29" s="564">
        <f>SUM(J28:J29)</f>
        <v>30056</v>
      </c>
      <c r="O29" s="544"/>
      <c r="P29" s="544"/>
      <c r="Q29" s="544"/>
      <c r="R29" s="565"/>
      <c r="S29" s="566"/>
      <c r="T29" s="544"/>
      <c r="U29" s="544"/>
      <c r="V29" s="544"/>
      <c r="AF29" s="521"/>
      <c r="AG29" s="521"/>
      <c r="AH29" s="521"/>
      <c r="AI29" s="521"/>
      <c r="AJ29" s="521"/>
      <c r="AK29" s="521"/>
      <c r="AL29" s="521"/>
      <c r="AM29" s="521"/>
      <c r="AN29" s="521"/>
      <c r="AO29" s="521"/>
      <c r="AP29" s="521"/>
      <c r="AQ29" s="521"/>
      <c r="AR29" s="521"/>
      <c r="AS29" s="521"/>
    </row>
    <row r="30" spans="2:45" ht="15" customHeight="1">
      <c r="B30" s="421">
        <v>3</v>
      </c>
      <c r="C30" s="1052" t="s">
        <v>530</v>
      </c>
      <c r="D30" s="1052"/>
      <c r="E30" s="1052"/>
      <c r="F30" s="1052"/>
      <c r="G30" s="1052"/>
      <c r="H30" s="1052"/>
      <c r="I30" s="451"/>
      <c r="J30" s="557"/>
      <c r="K30" s="558"/>
      <c r="L30" s="542"/>
      <c r="M30" s="541" t="s">
        <v>455</v>
      </c>
      <c r="N30" s="554">
        <f>SUM(N26-N29)</f>
        <v>511732</v>
      </c>
      <c r="O30" s="555"/>
      <c r="P30" s="555"/>
      <c r="Q30" s="555"/>
      <c r="R30" s="567"/>
      <c r="S30" s="568"/>
      <c r="T30" s="555"/>
      <c r="U30" s="555"/>
      <c r="V30" s="555"/>
      <c r="AF30" s="521"/>
      <c r="AG30" s="521"/>
      <c r="AH30" s="521"/>
      <c r="AI30" s="521"/>
      <c r="AJ30" s="521"/>
      <c r="AK30" s="521"/>
      <c r="AL30" s="521"/>
      <c r="AM30" s="521"/>
      <c r="AN30" s="521"/>
      <c r="AO30" s="521"/>
      <c r="AP30" s="521"/>
      <c r="AQ30" s="521"/>
      <c r="AR30" s="521"/>
      <c r="AS30" s="521"/>
    </row>
    <row r="31" spans="2:45" ht="12" customHeight="1">
      <c r="B31" s="421">
        <v>4</v>
      </c>
      <c r="C31" s="1052" t="s">
        <v>473</v>
      </c>
      <c r="D31" s="1052"/>
      <c r="E31" s="1052"/>
      <c r="F31" s="1052"/>
      <c r="G31" s="1052"/>
      <c r="H31" s="1052"/>
      <c r="I31" s="451"/>
      <c r="J31" s="557"/>
      <c r="K31" s="558"/>
      <c r="L31" s="542"/>
      <c r="M31" s="541"/>
      <c r="N31" s="543"/>
      <c r="O31" s="544"/>
      <c r="P31" s="544"/>
      <c r="Q31" s="544"/>
      <c r="R31" s="470"/>
      <c r="S31" s="544"/>
      <c r="T31" s="544"/>
      <c r="U31" s="544"/>
      <c r="V31" s="544"/>
      <c r="AF31" s="521"/>
      <c r="AG31" s="521"/>
      <c r="AH31" s="521"/>
      <c r="AI31" s="521"/>
      <c r="AJ31" s="521"/>
      <c r="AK31" s="521"/>
      <c r="AL31" s="521"/>
      <c r="AM31" s="521"/>
      <c r="AN31" s="521"/>
      <c r="AO31" s="521"/>
      <c r="AP31" s="521"/>
      <c r="AQ31" s="521"/>
      <c r="AR31" s="521"/>
      <c r="AS31" s="521"/>
    </row>
    <row r="32" spans="2:45" ht="12" customHeight="1">
      <c r="B32" s="421"/>
      <c r="C32" s="545" t="s">
        <v>457</v>
      </c>
      <c r="D32" s="484" t="s">
        <v>531</v>
      </c>
      <c r="E32" s="484"/>
      <c r="F32" s="559"/>
      <c r="G32" s="559"/>
      <c r="H32" s="452"/>
      <c r="I32" s="561" t="s">
        <v>455</v>
      </c>
      <c r="J32" s="562">
        <v>0</v>
      </c>
      <c r="K32" s="558"/>
      <c r="L32" s="542"/>
      <c r="M32" s="541"/>
      <c r="N32" s="543"/>
      <c r="O32" s="544"/>
      <c r="P32" s="544"/>
      <c r="Q32" s="544"/>
      <c r="R32" s="544"/>
      <c r="S32" s="544"/>
      <c r="T32" s="544"/>
      <c r="U32" s="544"/>
      <c r="V32" s="544"/>
      <c r="AF32" s="521"/>
      <c r="AG32" s="521"/>
      <c r="AH32" s="521"/>
      <c r="AI32" s="521"/>
      <c r="AJ32" s="521"/>
      <c r="AK32" s="521"/>
      <c r="AL32" s="521"/>
      <c r="AM32" s="521"/>
      <c r="AN32" s="521"/>
      <c r="AO32" s="521"/>
      <c r="AP32" s="521"/>
      <c r="AQ32" s="521"/>
      <c r="AR32" s="521"/>
      <c r="AS32" s="521"/>
    </row>
    <row r="33" spans="2:45" ht="12.75" customHeight="1">
      <c r="B33" s="421"/>
      <c r="C33" s="545" t="s">
        <v>459</v>
      </c>
      <c r="D33" s="484" t="s">
        <v>532</v>
      </c>
      <c r="E33" s="484"/>
      <c r="F33" s="451"/>
      <c r="G33" s="559"/>
      <c r="H33" s="452"/>
      <c r="I33" s="561" t="s">
        <v>455</v>
      </c>
      <c r="J33" s="562">
        <f>'ITAnnexure-II'!L15</f>
        <v>2400</v>
      </c>
      <c r="K33" s="558"/>
      <c r="L33" s="542"/>
      <c r="M33" s="541"/>
      <c r="N33" s="543"/>
      <c r="O33" s="544"/>
      <c r="P33" s="544"/>
      <c r="Q33" s="544"/>
      <c r="R33" s="544"/>
      <c r="S33" s="544"/>
      <c r="T33" s="544"/>
      <c r="U33" s="544"/>
      <c r="V33" s="544"/>
      <c r="AF33" s="521"/>
      <c r="AG33" s="521"/>
      <c r="AH33" s="521"/>
      <c r="AI33" s="521"/>
      <c r="AJ33" s="521"/>
      <c r="AK33" s="521"/>
      <c r="AL33" s="521"/>
      <c r="AM33" s="521"/>
      <c r="AN33" s="521"/>
      <c r="AO33" s="521"/>
      <c r="AP33" s="521"/>
      <c r="AQ33" s="521"/>
      <c r="AR33" s="521"/>
      <c r="AS33" s="521"/>
    </row>
    <row r="34" spans="2:45" ht="15" customHeight="1">
      <c r="B34" s="421">
        <v>5</v>
      </c>
      <c r="C34" s="1050" t="s">
        <v>533</v>
      </c>
      <c r="D34" s="1050"/>
      <c r="E34" s="1050"/>
      <c r="F34" s="1050"/>
      <c r="G34" s="1050"/>
      <c r="H34" s="1050"/>
      <c r="I34" s="556"/>
      <c r="J34" s="569"/>
      <c r="K34" s="541"/>
      <c r="L34" s="542"/>
      <c r="M34" s="563" t="s">
        <v>455</v>
      </c>
      <c r="N34" s="570">
        <f>SUM(J32:J33)</f>
        <v>2400</v>
      </c>
      <c r="O34" s="544"/>
      <c r="P34" s="544"/>
      <c r="Q34" s="544"/>
      <c r="R34" s="566"/>
      <c r="S34" s="544"/>
      <c r="T34" s="544"/>
      <c r="U34" s="544"/>
      <c r="V34" s="544"/>
      <c r="AF34" s="521"/>
      <c r="AG34" s="521"/>
      <c r="AH34" s="521"/>
      <c r="AI34" s="521"/>
      <c r="AJ34" s="521"/>
      <c r="AK34" s="521"/>
      <c r="AL34" s="521"/>
      <c r="AM34" s="521"/>
      <c r="AN34" s="521"/>
      <c r="AO34" s="521"/>
      <c r="AP34" s="521"/>
      <c r="AQ34" s="521"/>
      <c r="AR34" s="521"/>
      <c r="AS34" s="521"/>
    </row>
    <row r="35" spans="2:45" ht="15" customHeight="1">
      <c r="B35" s="421">
        <v>6</v>
      </c>
      <c r="C35" s="1053" t="s">
        <v>534</v>
      </c>
      <c r="D35" s="1053"/>
      <c r="E35" s="1053"/>
      <c r="F35" s="1053"/>
      <c r="G35" s="1053"/>
      <c r="H35" s="1053"/>
      <c r="I35" s="556"/>
      <c r="J35" s="569"/>
      <c r="K35" s="541"/>
      <c r="L35" s="542"/>
      <c r="M35" s="571" t="s">
        <v>455</v>
      </c>
      <c r="N35" s="572">
        <f>SUM(N30-N34)</f>
        <v>509332</v>
      </c>
      <c r="O35" s="555"/>
      <c r="P35" s="555"/>
      <c r="Q35" s="555"/>
      <c r="R35" s="555"/>
      <c r="S35" s="555"/>
      <c r="T35" s="555"/>
      <c r="U35" s="555"/>
      <c r="V35" s="555"/>
      <c r="AF35" s="521"/>
      <c r="AG35" s="521"/>
      <c r="AH35" s="521"/>
      <c r="AI35" s="521"/>
      <c r="AJ35" s="521"/>
      <c r="AK35" s="521"/>
      <c r="AL35" s="521"/>
      <c r="AM35" s="521"/>
      <c r="AN35" s="521"/>
      <c r="AO35" s="521"/>
      <c r="AP35" s="521"/>
      <c r="AQ35" s="521"/>
      <c r="AR35" s="521"/>
      <c r="AS35" s="521"/>
    </row>
    <row r="36" spans="2:45" ht="12.75" customHeight="1">
      <c r="B36" s="421">
        <v>7</v>
      </c>
      <c r="C36" s="1051" t="s">
        <v>535</v>
      </c>
      <c r="D36" s="1051"/>
      <c r="E36" s="1051"/>
      <c r="F36" s="1051"/>
      <c r="G36" s="1051"/>
      <c r="H36" s="1051"/>
      <c r="I36" s="556"/>
      <c r="J36" s="569"/>
      <c r="K36" s="541"/>
      <c r="L36" s="542"/>
      <c r="M36" s="573" t="s">
        <v>455</v>
      </c>
      <c r="N36" s="574">
        <f>'ITAnnexure-II'!M17</f>
        <v>0</v>
      </c>
      <c r="O36" s="544"/>
      <c r="P36" s="544"/>
      <c r="Q36" s="544"/>
      <c r="R36" s="544"/>
      <c r="S36" s="544"/>
      <c r="T36" s="544"/>
      <c r="U36" s="544"/>
      <c r="V36" s="544"/>
      <c r="AF36" s="521"/>
      <c r="AG36" s="521"/>
      <c r="AH36" s="521"/>
      <c r="AI36" s="521"/>
      <c r="AJ36" s="521"/>
      <c r="AK36" s="521"/>
      <c r="AL36" s="521"/>
      <c r="AM36" s="521"/>
      <c r="AN36" s="521"/>
      <c r="AO36" s="521"/>
      <c r="AP36" s="521"/>
      <c r="AQ36" s="521"/>
      <c r="AR36" s="521"/>
      <c r="AS36" s="521"/>
    </row>
    <row r="37" spans="2:45" ht="15" customHeight="1">
      <c r="B37" s="421"/>
      <c r="C37" s="1051" t="s">
        <v>536</v>
      </c>
      <c r="D37" s="1051"/>
      <c r="E37" s="1051"/>
      <c r="F37" s="1051"/>
      <c r="G37" s="1051"/>
      <c r="H37" s="1051"/>
      <c r="I37" s="556"/>
      <c r="J37" s="569"/>
      <c r="K37" s="541"/>
      <c r="L37" s="542"/>
      <c r="M37" s="573" t="s">
        <v>455</v>
      </c>
      <c r="N37" s="574">
        <f>'ITAnnexure-II'!L18</f>
        <v>0</v>
      </c>
      <c r="O37" s="544"/>
      <c r="P37" s="544"/>
      <c r="Q37" s="544"/>
      <c r="R37" s="544"/>
      <c r="S37" s="544"/>
      <c r="T37" s="544"/>
      <c r="U37" s="544"/>
      <c r="V37" s="544"/>
      <c r="AF37" s="521"/>
      <c r="AG37" s="521"/>
      <c r="AH37" s="521"/>
      <c r="AI37" s="521"/>
      <c r="AJ37" s="521"/>
      <c r="AK37" s="521"/>
      <c r="AL37" s="521"/>
      <c r="AM37" s="521"/>
      <c r="AN37" s="521"/>
      <c r="AO37" s="521"/>
      <c r="AP37" s="521"/>
      <c r="AQ37" s="521"/>
      <c r="AR37" s="521"/>
      <c r="AS37" s="521"/>
    </row>
    <row r="38" spans="2:45" ht="13.5" customHeight="1">
      <c r="B38" s="421"/>
      <c r="C38" s="1054" t="s">
        <v>537</v>
      </c>
      <c r="D38" s="1054"/>
      <c r="E38" s="1054"/>
      <c r="F38" s="1054"/>
      <c r="G38" s="1054"/>
      <c r="H38" s="1054"/>
      <c r="I38" s="556"/>
      <c r="J38" s="569"/>
      <c r="K38" s="541"/>
      <c r="L38" s="542"/>
      <c r="M38" s="573" t="s">
        <v>455</v>
      </c>
      <c r="N38" s="574">
        <f>IF('it pro'!$Q$18=2,0,'it data'!E11)</f>
        <v>0</v>
      </c>
      <c r="O38" s="544"/>
      <c r="P38" s="544"/>
      <c r="Q38" s="544"/>
      <c r="R38" s="544"/>
      <c r="S38" s="544"/>
      <c r="T38" s="544"/>
      <c r="U38" s="544"/>
      <c r="V38" s="544"/>
      <c r="AF38" s="521"/>
      <c r="AG38" s="521"/>
      <c r="AH38" s="521"/>
      <c r="AI38" s="521"/>
      <c r="AJ38" s="521"/>
      <c r="AK38" s="521"/>
      <c r="AL38" s="521"/>
      <c r="AM38" s="521"/>
      <c r="AN38" s="521"/>
      <c r="AO38" s="521"/>
      <c r="AP38" s="521"/>
      <c r="AQ38" s="521"/>
      <c r="AR38" s="521"/>
      <c r="AS38" s="521"/>
    </row>
    <row r="39" spans="2:45" ht="13.5" customHeight="1">
      <c r="B39" s="421"/>
      <c r="C39" s="538" t="s">
        <v>538</v>
      </c>
      <c r="D39" s="484"/>
      <c r="E39" s="484"/>
      <c r="F39" s="484"/>
      <c r="G39" s="575">
        <f>IF(N39=0,""," [Gross Rs."&amp;('it pro'!Y68)&amp;"]")</f>
      </c>
      <c r="H39" s="484"/>
      <c r="I39" s="576"/>
      <c r="J39" s="569"/>
      <c r="K39" s="541"/>
      <c r="L39" s="542"/>
      <c r="M39" s="577" t="s">
        <v>539</v>
      </c>
      <c r="N39" s="578">
        <f>'ITAnnexure-II'!L20</f>
        <v>0</v>
      </c>
      <c r="O39" s="544"/>
      <c r="P39" s="544"/>
      <c r="Q39" s="544"/>
      <c r="R39" s="544"/>
      <c r="S39" s="544"/>
      <c r="T39" s="544"/>
      <c r="U39" s="544"/>
      <c r="V39" s="544"/>
      <c r="AF39" s="521"/>
      <c r="AG39" s="521"/>
      <c r="AH39" s="521"/>
      <c r="AI39" s="521"/>
      <c r="AJ39" s="521"/>
      <c r="AK39" s="521"/>
      <c r="AL39" s="521"/>
      <c r="AM39" s="521"/>
      <c r="AN39" s="521"/>
      <c r="AO39" s="521"/>
      <c r="AP39" s="521"/>
      <c r="AQ39" s="521"/>
      <c r="AR39" s="521"/>
      <c r="AS39" s="521"/>
    </row>
    <row r="40" spans="2:45" ht="15" customHeight="1">
      <c r="B40" s="421">
        <v>8</v>
      </c>
      <c r="C40" s="1050" t="s">
        <v>540</v>
      </c>
      <c r="D40" s="1050"/>
      <c r="E40" s="1050"/>
      <c r="F40" s="469"/>
      <c r="G40" s="469"/>
      <c r="H40" s="451"/>
      <c r="I40" s="556"/>
      <c r="J40" s="569"/>
      <c r="K40" s="541"/>
      <c r="L40" s="542"/>
      <c r="M40" s="541" t="s">
        <v>455</v>
      </c>
      <c r="N40" s="554">
        <f>SUM(N35:N38)-(N39)</f>
        <v>509332</v>
      </c>
      <c r="O40" s="555"/>
      <c r="P40" s="555"/>
      <c r="Q40" s="555"/>
      <c r="R40" s="555"/>
      <c r="S40" s="555"/>
      <c r="T40" s="555"/>
      <c r="U40" s="555"/>
      <c r="V40" s="555"/>
      <c r="AF40" s="521"/>
      <c r="AG40" s="521"/>
      <c r="AH40" s="521"/>
      <c r="AI40" s="521"/>
      <c r="AJ40" s="521"/>
      <c r="AK40" s="521"/>
      <c r="AL40" s="521"/>
      <c r="AM40" s="521"/>
      <c r="AN40" s="521"/>
      <c r="AO40" s="521"/>
      <c r="AP40" s="521"/>
      <c r="AQ40" s="521"/>
      <c r="AR40" s="521"/>
      <c r="AS40" s="521"/>
    </row>
    <row r="41" spans="2:45" ht="15" customHeight="1">
      <c r="B41" s="421">
        <v>9</v>
      </c>
      <c r="C41" s="1050" t="s">
        <v>541</v>
      </c>
      <c r="D41" s="1050"/>
      <c r="E41" s="1050"/>
      <c r="F41" s="1050"/>
      <c r="G41" s="1050"/>
      <c r="H41" s="451"/>
      <c r="I41" s="556"/>
      <c r="J41" s="579"/>
      <c r="K41" s="541"/>
      <c r="L41" s="542"/>
      <c r="M41" s="541"/>
      <c r="N41" s="543"/>
      <c r="O41" s="544"/>
      <c r="P41" s="544"/>
      <c r="Q41" s="544"/>
      <c r="R41" s="544"/>
      <c r="S41" s="544"/>
      <c r="T41" s="544"/>
      <c r="U41" s="544"/>
      <c r="V41" s="544"/>
      <c r="AF41" s="521"/>
      <c r="AG41" s="521"/>
      <c r="AH41" s="521"/>
      <c r="AI41" s="521"/>
      <c r="AJ41" s="521"/>
      <c r="AK41" s="521"/>
      <c r="AL41" s="521"/>
      <c r="AM41" s="521"/>
      <c r="AN41" s="521"/>
      <c r="AO41" s="521"/>
      <c r="AP41" s="521"/>
      <c r="AQ41" s="521"/>
      <c r="AR41" s="521"/>
      <c r="AS41" s="521"/>
    </row>
    <row r="42" spans="2:45" ht="15" customHeight="1">
      <c r="B42" s="580" t="s">
        <v>542</v>
      </c>
      <c r="C42" s="1050" t="s">
        <v>543</v>
      </c>
      <c r="D42" s="1050"/>
      <c r="E42" s="1050"/>
      <c r="F42" s="581"/>
      <c r="G42" s="582" t="s">
        <v>544</v>
      </c>
      <c r="H42" s="484"/>
      <c r="I42" s="1057" t="s">
        <v>545</v>
      </c>
      <c r="J42" s="1057"/>
      <c r="K42" s="1057" t="s">
        <v>546</v>
      </c>
      <c r="L42" s="1057"/>
      <c r="M42" s="451"/>
      <c r="N42" s="543"/>
      <c r="O42" s="583"/>
      <c r="P42" s="583"/>
      <c r="Q42" s="583"/>
      <c r="R42" s="583"/>
      <c r="S42" s="583"/>
      <c r="T42" s="583"/>
      <c r="U42" s="583"/>
      <c r="V42" s="583"/>
      <c r="AF42" s="521"/>
      <c r="AG42" s="521"/>
      <c r="AH42" s="521"/>
      <c r="AI42" s="521"/>
      <c r="AJ42" s="521"/>
      <c r="AK42" s="521"/>
      <c r="AL42" s="521"/>
      <c r="AM42" s="521"/>
      <c r="AN42" s="521"/>
      <c r="AO42" s="521"/>
      <c r="AP42" s="521"/>
      <c r="AQ42" s="521"/>
      <c r="AR42" s="521"/>
      <c r="AS42" s="521"/>
    </row>
    <row r="43" spans="2:45" ht="15" customHeight="1">
      <c r="B43" s="421"/>
      <c r="C43" s="538" t="s">
        <v>457</v>
      </c>
      <c r="D43" s="581" t="s">
        <v>547</v>
      </c>
      <c r="E43" s="584"/>
      <c r="F43" s="584"/>
      <c r="G43" s="582" t="s">
        <v>548</v>
      </c>
      <c r="H43" s="484"/>
      <c r="I43" s="545"/>
      <c r="J43" s="560" t="s">
        <v>548</v>
      </c>
      <c r="K43" s="484"/>
      <c r="L43" s="560" t="s">
        <v>548</v>
      </c>
      <c r="M43" s="451"/>
      <c r="N43" s="543"/>
      <c r="O43" s="583"/>
      <c r="P43" s="583"/>
      <c r="Q43" s="583"/>
      <c r="R43" s="583"/>
      <c r="S43" s="583"/>
      <c r="T43" s="583"/>
      <c r="U43" s="583"/>
      <c r="V43" s="583"/>
      <c r="AF43" s="521"/>
      <c r="AG43" s="521"/>
      <c r="AH43" s="521"/>
      <c r="AI43" s="521"/>
      <c r="AJ43" s="521"/>
      <c r="AK43" s="521"/>
      <c r="AL43" s="521"/>
      <c r="AM43" s="521"/>
      <c r="AN43" s="521"/>
      <c r="AO43" s="521"/>
      <c r="AP43" s="521"/>
      <c r="AQ43" s="521"/>
      <c r="AR43" s="521"/>
      <c r="AS43" s="521"/>
    </row>
    <row r="44" spans="2:45" ht="13.5" customHeight="1">
      <c r="B44" s="421"/>
      <c r="C44" s="576" t="s">
        <v>549</v>
      </c>
      <c r="D44" s="541" t="str">
        <f>'it pro'!U36</f>
        <v>ZP GPF</v>
      </c>
      <c r="E44" s="541"/>
      <c r="F44" s="585" t="s">
        <v>455</v>
      </c>
      <c r="G44" s="562">
        <f>IF(OR('it pro'!Q34=1,'it pro'!Q34=2),'ITAnnexure-I'!N24,0)</f>
        <v>10797</v>
      </c>
      <c r="H44" s="586"/>
      <c r="I44" s="587" t="s">
        <v>455</v>
      </c>
      <c r="J44" s="588">
        <f>'it pro'!BV30</f>
        <v>10797</v>
      </c>
      <c r="K44" s="589" t="s">
        <v>455</v>
      </c>
      <c r="L44" s="588">
        <f>J44</f>
        <v>10797</v>
      </c>
      <c r="M44" s="541"/>
      <c r="N44" s="543"/>
      <c r="O44" s="544"/>
      <c r="P44" s="544"/>
      <c r="Q44" s="544"/>
      <c r="R44" s="544"/>
      <c r="S44" s="544"/>
      <c r="T44" s="544"/>
      <c r="U44" s="544"/>
      <c r="V44" s="544"/>
      <c r="AF44" s="521"/>
      <c r="AG44" s="521"/>
      <c r="AH44" s="521"/>
      <c r="AI44" s="521"/>
      <c r="AJ44" s="521"/>
      <c r="AK44" s="521"/>
      <c r="AL44" s="521"/>
      <c r="AM44" s="521"/>
      <c r="AN44" s="521"/>
      <c r="AO44" s="521"/>
      <c r="AP44" s="521"/>
      <c r="AQ44" s="521"/>
      <c r="AR44" s="521"/>
      <c r="AS44" s="521"/>
    </row>
    <row r="45" spans="2:45" ht="13.5" customHeight="1">
      <c r="B45" s="421"/>
      <c r="C45" s="576" t="s">
        <v>550</v>
      </c>
      <c r="D45" s="541" t="s">
        <v>551</v>
      </c>
      <c r="E45" s="541"/>
      <c r="F45" s="585" t="s">
        <v>455</v>
      </c>
      <c r="G45" s="562">
        <f>'ITAnnexure-II'!L37</f>
        <v>0</v>
      </c>
      <c r="H45" s="586"/>
      <c r="I45" s="587" t="s">
        <v>455</v>
      </c>
      <c r="J45" s="588">
        <f>'it pro'!BV31</f>
        <v>0</v>
      </c>
      <c r="K45" s="589" t="s">
        <v>455</v>
      </c>
      <c r="L45" s="588">
        <f aca="true" t="shared" si="0" ref="L45:L54">J45</f>
        <v>0</v>
      </c>
      <c r="M45" s="541"/>
      <c r="N45" s="543"/>
      <c r="O45" s="544"/>
      <c r="P45" s="544"/>
      <c r="Q45" s="544"/>
      <c r="R45" s="544"/>
      <c r="S45" s="544"/>
      <c r="T45" s="544"/>
      <c r="U45" s="544"/>
      <c r="V45" s="544"/>
      <c r="AF45" s="521"/>
      <c r="AG45" s="521"/>
      <c r="AH45" s="521"/>
      <c r="AI45" s="521"/>
      <c r="AJ45" s="521"/>
      <c r="AK45" s="521"/>
      <c r="AL45" s="521"/>
      <c r="AM45" s="521"/>
      <c r="AN45" s="521"/>
      <c r="AO45" s="521"/>
      <c r="AP45" s="521"/>
      <c r="AQ45" s="521"/>
      <c r="AR45" s="521"/>
      <c r="AS45" s="521"/>
    </row>
    <row r="46" spans="2:45" ht="13.5" customHeight="1">
      <c r="B46" s="421"/>
      <c r="C46" s="576" t="s">
        <v>552</v>
      </c>
      <c r="D46" s="541" t="s">
        <v>553</v>
      </c>
      <c r="E46" s="541"/>
      <c r="F46" s="585" t="s">
        <v>455</v>
      </c>
      <c r="G46" s="562">
        <f>'ITAnnexure-II'!L38</f>
        <v>0</v>
      </c>
      <c r="H46" s="586"/>
      <c r="I46" s="587" t="s">
        <v>455</v>
      </c>
      <c r="J46" s="588">
        <f>'it pro'!BV32</f>
        <v>0</v>
      </c>
      <c r="K46" s="589" t="s">
        <v>455</v>
      </c>
      <c r="L46" s="588">
        <f t="shared" si="0"/>
        <v>0</v>
      </c>
      <c r="M46" s="541"/>
      <c r="N46" s="543"/>
      <c r="O46" s="544"/>
      <c r="P46" s="544"/>
      <c r="Q46" s="544"/>
      <c r="R46" s="544"/>
      <c r="S46" s="544"/>
      <c r="T46" s="544"/>
      <c r="U46" s="544"/>
      <c r="V46" s="544"/>
      <c r="AF46" s="521"/>
      <c r="AG46" s="521"/>
      <c r="AH46" s="521"/>
      <c r="AI46" s="521"/>
      <c r="AJ46" s="521"/>
      <c r="AK46" s="521"/>
      <c r="AL46" s="521"/>
      <c r="AM46" s="521"/>
      <c r="AN46" s="521"/>
      <c r="AO46" s="521"/>
      <c r="AP46" s="521"/>
      <c r="AQ46" s="521"/>
      <c r="AR46" s="521"/>
      <c r="AS46" s="521"/>
    </row>
    <row r="47" spans="2:45" ht="13.5" customHeight="1">
      <c r="B47" s="421"/>
      <c r="C47" s="576" t="s">
        <v>554</v>
      </c>
      <c r="D47" s="1058" t="s">
        <v>555</v>
      </c>
      <c r="E47" s="1058"/>
      <c r="F47" s="585" t="s">
        <v>455</v>
      </c>
      <c r="G47" s="562">
        <f>'ITAnnexure-II'!L39</f>
        <v>0</v>
      </c>
      <c r="H47" s="586"/>
      <c r="I47" s="587" t="s">
        <v>455</v>
      </c>
      <c r="J47" s="588">
        <f>'it pro'!BV33</f>
        <v>0</v>
      </c>
      <c r="K47" s="589" t="s">
        <v>455</v>
      </c>
      <c r="L47" s="588">
        <f t="shared" si="0"/>
        <v>0</v>
      </c>
      <c r="M47" s="541"/>
      <c r="N47" s="543"/>
      <c r="O47" s="544"/>
      <c r="P47" s="544"/>
      <c r="Q47" s="544"/>
      <c r="R47" s="544"/>
      <c r="S47" s="544"/>
      <c r="T47" s="544"/>
      <c r="U47" s="544"/>
      <c r="V47" s="544"/>
      <c r="AF47" s="521"/>
      <c r="AG47" s="521"/>
      <c r="AH47" s="521"/>
      <c r="AI47" s="521"/>
      <c r="AJ47" s="521"/>
      <c r="AK47" s="521"/>
      <c r="AL47" s="521"/>
      <c r="AM47" s="521"/>
      <c r="AN47" s="521"/>
      <c r="AO47" s="521"/>
      <c r="AP47" s="521"/>
      <c r="AQ47" s="521"/>
      <c r="AR47" s="521"/>
      <c r="AS47" s="521"/>
    </row>
    <row r="48" spans="2:45" ht="13.5" customHeight="1">
      <c r="B48" s="421"/>
      <c r="C48" s="576" t="s">
        <v>556</v>
      </c>
      <c r="D48" s="1058" t="str">
        <f>'ITAnnexure-II'!D40</f>
        <v>Children Tution Fee </v>
      </c>
      <c r="E48" s="1058"/>
      <c r="F48" s="585" t="s">
        <v>455</v>
      </c>
      <c r="G48" s="562">
        <f>'it pro'!BU34</f>
        <v>0</v>
      </c>
      <c r="H48" s="586"/>
      <c r="I48" s="587" t="s">
        <v>455</v>
      </c>
      <c r="J48" s="588">
        <f>'it pro'!BY34</f>
        <v>0</v>
      </c>
      <c r="K48" s="589" t="s">
        <v>455</v>
      </c>
      <c r="L48" s="588">
        <f t="shared" si="0"/>
        <v>0</v>
      </c>
      <c r="M48" s="541"/>
      <c r="N48" s="543"/>
      <c r="O48" s="544"/>
      <c r="P48" s="544"/>
      <c r="Q48" s="544"/>
      <c r="R48" s="544"/>
      <c r="S48" s="544"/>
      <c r="T48" s="544"/>
      <c r="U48" s="544"/>
      <c r="V48" s="544"/>
      <c r="AF48" s="521"/>
      <c r="AG48" s="521"/>
      <c r="AH48" s="521"/>
      <c r="AI48" s="521"/>
      <c r="AJ48" s="521"/>
      <c r="AK48" s="521"/>
      <c r="AL48" s="521"/>
      <c r="AM48" s="521"/>
      <c r="AN48" s="521"/>
      <c r="AO48" s="521"/>
      <c r="AP48" s="521"/>
      <c r="AQ48" s="521"/>
      <c r="AR48" s="521"/>
      <c r="AS48" s="521"/>
    </row>
    <row r="49" spans="2:45" ht="13.5" customHeight="1">
      <c r="B49" s="421"/>
      <c r="C49" s="576" t="s">
        <v>557</v>
      </c>
      <c r="D49" s="541" t="str">
        <f>'ITAnnexure-II'!D41</f>
        <v>Repayement of Home Loan Premium</v>
      </c>
      <c r="E49" s="541"/>
      <c r="F49" s="585" t="s">
        <v>455</v>
      </c>
      <c r="G49" s="562">
        <f>'it pro'!BU35</f>
        <v>0</v>
      </c>
      <c r="H49" s="586"/>
      <c r="I49" s="587" t="s">
        <v>455</v>
      </c>
      <c r="J49" s="588">
        <f>'it pro'!BY35</f>
        <v>0</v>
      </c>
      <c r="K49" s="589" t="s">
        <v>455</v>
      </c>
      <c r="L49" s="588">
        <f t="shared" si="0"/>
        <v>0</v>
      </c>
      <c r="M49" s="541"/>
      <c r="N49" s="543"/>
      <c r="O49" s="544"/>
      <c r="P49" s="544"/>
      <c r="Q49" s="544"/>
      <c r="R49" s="544"/>
      <c r="S49" s="544"/>
      <c r="T49" s="544"/>
      <c r="U49" s="544"/>
      <c r="V49" s="544"/>
      <c r="AF49" s="521"/>
      <c r="AG49" s="521"/>
      <c r="AH49" s="521"/>
      <c r="AI49" s="521"/>
      <c r="AJ49" s="521"/>
      <c r="AK49" s="521"/>
      <c r="AL49" s="521"/>
      <c r="AM49" s="521"/>
      <c r="AN49" s="521"/>
      <c r="AO49" s="521"/>
      <c r="AP49" s="521"/>
      <c r="AQ49" s="521"/>
      <c r="AR49" s="521"/>
      <c r="AS49" s="521"/>
    </row>
    <row r="50" spans="2:45" ht="13.5" customHeight="1">
      <c r="B50" s="421"/>
      <c r="C50" s="576" t="s">
        <v>558</v>
      </c>
      <c r="D50" s="541" t="str">
        <f>'ITAnnexure-II'!D42</f>
        <v>LIC Annual Premiums Paid by Hand</v>
      </c>
      <c r="E50" s="541"/>
      <c r="F50" s="585" t="s">
        <v>455</v>
      </c>
      <c r="G50" s="562">
        <f>'it pro'!BU36</f>
        <v>0</v>
      </c>
      <c r="H50" s="586"/>
      <c r="I50" s="587" t="s">
        <v>455</v>
      </c>
      <c r="J50" s="588">
        <f>'it pro'!BY36</f>
        <v>0</v>
      </c>
      <c r="K50" s="589" t="s">
        <v>455</v>
      </c>
      <c r="L50" s="588">
        <f t="shared" si="0"/>
        <v>0</v>
      </c>
      <c r="M50" s="541"/>
      <c r="N50" s="543"/>
      <c r="O50" s="544"/>
      <c r="P50" s="544"/>
      <c r="Q50" s="544"/>
      <c r="R50" s="544"/>
      <c r="S50" s="544"/>
      <c r="T50" s="544"/>
      <c r="U50" s="544"/>
      <c r="V50" s="544"/>
      <c r="AF50" s="521"/>
      <c r="AG50" s="521"/>
      <c r="AH50" s="521"/>
      <c r="AI50" s="521"/>
      <c r="AJ50" s="521"/>
      <c r="AK50" s="521"/>
      <c r="AL50" s="521"/>
      <c r="AM50" s="521"/>
      <c r="AN50" s="521"/>
      <c r="AO50" s="521"/>
      <c r="AP50" s="521"/>
      <c r="AQ50" s="521"/>
      <c r="AR50" s="521"/>
      <c r="AS50" s="521"/>
    </row>
    <row r="51" spans="2:45" ht="13.5" customHeight="1">
      <c r="B51" s="421"/>
      <c r="C51" s="576" t="s">
        <v>559</v>
      </c>
      <c r="D51" s="541" t="str">
        <f>'ITAnnexure-II'!D43</f>
        <v>SBI Life insurance</v>
      </c>
      <c r="E51" s="541"/>
      <c r="F51" s="585" t="s">
        <v>455</v>
      </c>
      <c r="G51" s="562">
        <f>'it pro'!BU37</f>
        <v>0</v>
      </c>
      <c r="H51" s="586"/>
      <c r="I51" s="587" t="s">
        <v>455</v>
      </c>
      <c r="J51" s="588">
        <f>'it pro'!BY37</f>
        <v>0</v>
      </c>
      <c r="K51" s="589" t="s">
        <v>455</v>
      </c>
      <c r="L51" s="588">
        <f t="shared" si="0"/>
        <v>0</v>
      </c>
      <c r="M51" s="558"/>
      <c r="N51" s="543"/>
      <c r="O51" s="544"/>
      <c r="P51" s="544"/>
      <c r="Q51" s="544"/>
      <c r="R51" s="544"/>
      <c r="S51" s="544"/>
      <c r="T51" s="544"/>
      <c r="U51" s="544"/>
      <c r="V51" s="544"/>
      <c r="AF51" s="521"/>
      <c r="AG51" s="521"/>
      <c r="AH51" s="521"/>
      <c r="AI51" s="521"/>
      <c r="AJ51" s="521"/>
      <c r="AK51" s="521"/>
      <c r="AL51" s="521"/>
      <c r="AM51" s="521"/>
      <c r="AN51" s="521"/>
      <c r="AO51" s="521"/>
      <c r="AP51" s="521"/>
      <c r="AQ51" s="521"/>
      <c r="AR51" s="521"/>
      <c r="AS51" s="521"/>
    </row>
    <row r="52" spans="2:45" ht="13.5" customHeight="1">
      <c r="B52" s="421"/>
      <c r="C52" s="576" t="s">
        <v>560</v>
      </c>
      <c r="D52" s="541" t="str">
        <f>'ITAnnexure-II'!D44</f>
        <v>Public Provident Fund</v>
      </c>
      <c r="E52" s="541"/>
      <c r="F52" s="590" t="s">
        <v>455</v>
      </c>
      <c r="G52" s="562">
        <f>'it pro'!BU38</f>
        <v>0</v>
      </c>
      <c r="H52" s="586"/>
      <c r="I52" s="587" t="s">
        <v>455</v>
      </c>
      <c r="J52" s="588">
        <f>'it pro'!BY38</f>
        <v>0</v>
      </c>
      <c r="K52" s="589" t="s">
        <v>455</v>
      </c>
      <c r="L52" s="588">
        <f t="shared" si="0"/>
        <v>0</v>
      </c>
      <c r="M52" s="558"/>
      <c r="N52" s="543"/>
      <c r="O52" s="544"/>
      <c r="P52" s="544"/>
      <c r="Q52" s="544"/>
      <c r="R52" s="544"/>
      <c r="S52" s="544"/>
      <c r="T52" s="544"/>
      <c r="U52" s="544"/>
      <c r="V52" s="544"/>
      <c r="AF52" s="521"/>
      <c r="AG52" s="521"/>
      <c r="AH52" s="521"/>
      <c r="AI52" s="521"/>
      <c r="AJ52" s="521"/>
      <c r="AK52" s="521"/>
      <c r="AL52" s="521"/>
      <c r="AM52" s="521"/>
      <c r="AN52" s="521"/>
      <c r="AO52" s="521"/>
      <c r="AP52" s="521"/>
      <c r="AQ52" s="521"/>
      <c r="AR52" s="521"/>
      <c r="AS52" s="521"/>
    </row>
    <row r="53" spans="2:45" ht="13.5" customHeight="1">
      <c r="B53" s="421"/>
      <c r="C53" s="576" t="s">
        <v>561</v>
      </c>
      <c r="D53" s="541" t="str">
        <f>'ITAnnexure-II'!D45</f>
        <v>Rajiv Gandhi Equity Savings Scheme-80CCG</v>
      </c>
      <c r="E53" s="541"/>
      <c r="F53" s="541" t="s">
        <v>455</v>
      </c>
      <c r="G53" s="562">
        <f>'it pro'!BU39</f>
        <v>0</v>
      </c>
      <c r="H53" s="586"/>
      <c r="I53" s="587" t="s">
        <v>455</v>
      </c>
      <c r="J53" s="562">
        <f>'it pro'!BY39</f>
        <v>0</v>
      </c>
      <c r="K53" s="591" t="s">
        <v>455</v>
      </c>
      <c r="L53" s="588">
        <f t="shared" si="0"/>
        <v>0</v>
      </c>
      <c r="M53" s="558"/>
      <c r="N53" s="543"/>
      <c r="O53" s="544"/>
      <c r="P53" s="544"/>
      <c r="Q53" s="544"/>
      <c r="R53" s="544"/>
      <c r="S53" s="544"/>
      <c r="T53" s="544"/>
      <c r="U53" s="544"/>
      <c r="V53" s="544"/>
      <c r="AF53" s="521"/>
      <c r="AG53" s="521"/>
      <c r="AH53" s="521"/>
      <c r="AI53" s="521"/>
      <c r="AJ53" s="521"/>
      <c r="AK53" s="521"/>
      <c r="AL53" s="521"/>
      <c r="AM53" s="521"/>
      <c r="AN53" s="521"/>
      <c r="AO53" s="521"/>
      <c r="AP53" s="521"/>
      <c r="AQ53" s="521"/>
      <c r="AR53" s="521"/>
      <c r="AS53" s="521"/>
    </row>
    <row r="54" spans="2:45" ht="13.5" customHeight="1">
      <c r="B54" s="421"/>
      <c r="C54" s="576" t="s">
        <v>562</v>
      </c>
      <c r="D54" s="440" t="str">
        <f>'ITAnnexure-II'!D46</f>
        <v>Interest on Savings account-80TTA</v>
      </c>
      <c r="E54" s="541"/>
      <c r="F54" s="541" t="s">
        <v>455</v>
      </c>
      <c r="G54" s="562">
        <f>'it pro'!BU40</f>
        <v>0</v>
      </c>
      <c r="H54" s="586"/>
      <c r="I54" s="587" t="s">
        <v>455</v>
      </c>
      <c r="J54" s="562">
        <f>'it pro'!BY40</f>
        <v>0</v>
      </c>
      <c r="K54" s="591" t="s">
        <v>455</v>
      </c>
      <c r="L54" s="588">
        <f t="shared" si="0"/>
        <v>0</v>
      </c>
      <c r="M54" s="558"/>
      <c r="N54" s="543"/>
      <c r="O54" s="544"/>
      <c r="P54" s="544"/>
      <c r="Q54" s="544"/>
      <c r="R54" s="544"/>
      <c r="S54" s="544"/>
      <c r="T54" s="544"/>
      <c r="U54" s="544"/>
      <c r="V54" s="544"/>
      <c r="AF54" s="521"/>
      <c r="AG54" s="521"/>
      <c r="AH54" s="521"/>
      <c r="AI54" s="521"/>
      <c r="AJ54" s="521"/>
      <c r="AK54" s="521"/>
      <c r="AL54" s="521"/>
      <c r="AM54" s="521"/>
      <c r="AN54" s="521"/>
      <c r="AO54" s="521"/>
      <c r="AP54" s="521"/>
      <c r="AQ54" s="521"/>
      <c r="AR54" s="521"/>
      <c r="AS54" s="521"/>
    </row>
    <row r="55" spans="2:45" ht="16.5" customHeight="1">
      <c r="B55" s="421"/>
      <c r="C55" s="558"/>
      <c r="D55" s="541" t="str">
        <f>'ITAnnexure-II'!D47</f>
        <v>(Others)</v>
      </c>
      <c r="E55" s="541"/>
      <c r="F55" s="585" t="s">
        <v>455</v>
      </c>
      <c r="G55" s="562">
        <f>'it pro'!BU42</f>
        <v>0</v>
      </c>
      <c r="H55" s="585"/>
      <c r="I55" s="573" t="s">
        <v>455</v>
      </c>
      <c r="J55" s="547">
        <f>'it pro'!BY42</f>
        <v>0</v>
      </c>
      <c r="K55" s="585" t="s">
        <v>455</v>
      </c>
      <c r="L55" s="547">
        <f>J55</f>
        <v>0</v>
      </c>
      <c r="M55" s="592"/>
      <c r="N55" s="593"/>
      <c r="O55" s="555"/>
      <c r="P55" s="555"/>
      <c r="Q55" s="555"/>
      <c r="R55" s="555"/>
      <c r="S55" s="555"/>
      <c r="T55" s="555"/>
      <c r="U55" s="555"/>
      <c r="V55" s="555"/>
      <c r="AF55" s="521"/>
      <c r="AG55" s="521"/>
      <c r="AH55" s="521"/>
      <c r="AI55" s="521"/>
      <c r="AJ55" s="521"/>
      <c r="AK55" s="521"/>
      <c r="AL55" s="521"/>
      <c r="AM55" s="521"/>
      <c r="AN55" s="521"/>
      <c r="AO55" s="521"/>
      <c r="AP55" s="521"/>
      <c r="AQ55" s="521"/>
      <c r="AR55" s="521"/>
      <c r="AS55" s="521"/>
    </row>
    <row r="56" spans="2:45" ht="15" customHeight="1">
      <c r="B56" s="421"/>
      <c r="C56" s="594"/>
      <c r="D56" s="595"/>
      <c r="E56" s="541" t="s">
        <v>563</v>
      </c>
      <c r="F56" s="541"/>
      <c r="G56" s="557"/>
      <c r="H56" s="541"/>
      <c r="I56" s="596"/>
      <c r="J56" s="597"/>
      <c r="K56" s="597"/>
      <c r="L56" s="598"/>
      <c r="M56" s="599" t="s">
        <v>455</v>
      </c>
      <c r="N56" s="554">
        <f>'it pro'!BW50</f>
        <v>10797</v>
      </c>
      <c r="O56" s="544"/>
      <c r="P56" s="544"/>
      <c r="Q56" s="544"/>
      <c r="R56" s="544"/>
      <c r="S56" s="544"/>
      <c r="T56" s="544"/>
      <c r="U56" s="544"/>
      <c r="V56" s="544"/>
      <c r="AF56" s="521"/>
      <c r="AG56" s="521"/>
      <c r="AH56" s="521"/>
      <c r="AI56" s="521"/>
      <c r="AJ56" s="521"/>
      <c r="AK56" s="521"/>
      <c r="AL56" s="521"/>
      <c r="AM56" s="521"/>
      <c r="AN56" s="521"/>
      <c r="AO56" s="521"/>
      <c r="AP56" s="521"/>
      <c r="AQ56" s="521"/>
      <c r="AR56" s="521"/>
      <c r="AS56" s="521"/>
    </row>
    <row r="57" spans="2:45" ht="13.5" customHeight="1">
      <c r="B57" s="421"/>
      <c r="C57" s="594" t="s">
        <v>459</v>
      </c>
      <c r="D57" s="595" t="s">
        <v>564</v>
      </c>
      <c r="E57" s="541"/>
      <c r="F57" s="541"/>
      <c r="G57" s="557"/>
      <c r="H57" s="541"/>
      <c r="I57" s="558"/>
      <c r="J57" s="569"/>
      <c r="K57" s="541"/>
      <c r="L57" s="569"/>
      <c r="M57" s="541"/>
      <c r="N57" s="543"/>
      <c r="O57" s="555"/>
      <c r="P57" s="555"/>
      <c r="Q57" s="555"/>
      <c r="R57" s="555"/>
      <c r="S57" s="555"/>
      <c r="T57" s="555"/>
      <c r="U57" s="555"/>
      <c r="V57" s="555"/>
      <c r="AF57" s="521"/>
      <c r="AG57" s="521"/>
      <c r="AH57" s="521"/>
      <c r="AI57" s="521"/>
      <c r="AJ57" s="521"/>
      <c r="AK57" s="521"/>
      <c r="AL57" s="521"/>
      <c r="AM57" s="521"/>
      <c r="AN57" s="521"/>
      <c r="AO57" s="521"/>
      <c r="AP57" s="521"/>
      <c r="AQ57" s="521"/>
      <c r="AR57" s="521"/>
      <c r="AS57" s="521"/>
    </row>
    <row r="58" spans="2:45" ht="14.25" customHeight="1">
      <c r="B58" s="421"/>
      <c r="C58" s="600" t="s">
        <v>549</v>
      </c>
      <c r="D58" s="541" t="s">
        <v>109</v>
      </c>
      <c r="E58" s="541"/>
      <c r="F58" s="585" t="s">
        <v>455</v>
      </c>
      <c r="G58" s="601">
        <f>'it pro'!BY29</f>
        <v>0</v>
      </c>
      <c r="H58" s="585"/>
      <c r="I58" s="573" t="s">
        <v>455</v>
      </c>
      <c r="J58" s="547">
        <f>'it pro'!BX30</f>
        <v>0</v>
      </c>
      <c r="K58" s="585" t="s">
        <v>455</v>
      </c>
      <c r="L58" s="547">
        <f>'it pro'!BX30</f>
        <v>0</v>
      </c>
      <c r="M58" s="602" t="s">
        <v>455</v>
      </c>
      <c r="N58" s="603">
        <f>L58</f>
        <v>0</v>
      </c>
      <c r="O58" s="544"/>
      <c r="P58" s="544"/>
      <c r="Q58" s="544"/>
      <c r="R58" s="544"/>
      <c r="S58" s="544"/>
      <c r="T58" s="544"/>
      <c r="U58" s="544"/>
      <c r="V58" s="544"/>
      <c r="AF58" s="521"/>
      <c r="AG58" s="521"/>
      <c r="AH58" s="521"/>
      <c r="AI58" s="521"/>
      <c r="AJ58" s="521"/>
      <c r="AK58" s="521"/>
      <c r="AL58" s="521"/>
      <c r="AM58" s="521"/>
      <c r="AN58" s="521"/>
      <c r="AO58" s="521"/>
      <c r="AP58" s="521"/>
      <c r="AQ58" s="521"/>
      <c r="AR58" s="521"/>
      <c r="AS58" s="521"/>
    </row>
    <row r="59" spans="2:45" ht="18.75" customHeight="1">
      <c r="B59" s="421"/>
      <c r="C59" s="604" t="s">
        <v>565</v>
      </c>
      <c r="D59" s="595"/>
      <c r="E59" s="595"/>
      <c r="F59" s="595"/>
      <c r="G59" s="595"/>
      <c r="H59" s="595"/>
      <c r="I59" s="595"/>
      <c r="J59" s="595"/>
      <c r="K59" s="595"/>
      <c r="L59" s="605"/>
      <c r="M59" s="606" t="s">
        <v>455</v>
      </c>
      <c r="N59" s="607">
        <f>'ITAnnexure-II'!M48</f>
        <v>10797</v>
      </c>
      <c r="O59" s="555"/>
      <c r="P59" s="555"/>
      <c r="Q59" s="555"/>
      <c r="R59" s="555"/>
      <c r="S59" s="555"/>
      <c r="T59" s="555"/>
      <c r="U59" s="555"/>
      <c r="V59" s="555"/>
      <c r="AF59" s="521"/>
      <c r="AG59" s="521"/>
      <c r="AH59" s="521"/>
      <c r="AI59" s="521"/>
      <c r="AJ59" s="521"/>
      <c r="AK59" s="521"/>
      <c r="AL59" s="521"/>
      <c r="AM59" s="521"/>
      <c r="AN59" s="521"/>
      <c r="AO59" s="521"/>
      <c r="AP59" s="521"/>
      <c r="AQ59" s="521"/>
      <c r="AR59" s="521"/>
      <c r="AS59" s="521"/>
    </row>
    <row r="60" spans="2:45" ht="3.75" customHeight="1">
      <c r="B60" s="608"/>
      <c r="C60" s="609"/>
      <c r="D60" s="610"/>
      <c r="E60" s="610"/>
      <c r="F60" s="610"/>
      <c r="G60" s="610"/>
      <c r="H60" s="611"/>
      <c r="I60" s="611"/>
      <c r="J60" s="611"/>
      <c r="K60" s="611"/>
      <c r="L60" s="612"/>
      <c r="M60" s="613"/>
      <c r="N60" s="614"/>
      <c r="O60" s="555"/>
      <c r="P60" s="555"/>
      <c r="Q60" s="555"/>
      <c r="R60" s="555"/>
      <c r="S60" s="555"/>
      <c r="T60" s="555"/>
      <c r="U60" s="555"/>
      <c r="V60" s="555"/>
      <c r="AF60" s="521"/>
      <c r="AG60" s="521"/>
      <c r="AH60" s="521"/>
      <c r="AI60" s="521"/>
      <c r="AJ60" s="521"/>
      <c r="AK60" s="521"/>
      <c r="AL60" s="521"/>
      <c r="AM60" s="521"/>
      <c r="AN60" s="521"/>
      <c r="AO60" s="521"/>
      <c r="AP60" s="521"/>
      <c r="AQ60" s="521"/>
      <c r="AR60" s="521"/>
      <c r="AS60" s="521"/>
    </row>
    <row r="61" spans="2:45" ht="15" customHeight="1">
      <c r="B61" s="615" t="s">
        <v>566</v>
      </c>
      <c r="C61" s="616"/>
      <c r="D61" s="451" t="s">
        <v>567</v>
      </c>
      <c r="E61" s="451"/>
      <c r="F61" s="451"/>
      <c r="G61" s="451"/>
      <c r="H61" s="451"/>
      <c r="I61" s="451"/>
      <c r="J61" s="451"/>
      <c r="K61" s="451"/>
      <c r="L61" s="451"/>
      <c r="M61" s="451"/>
      <c r="N61" s="617"/>
      <c r="O61" s="618"/>
      <c r="P61" s="618"/>
      <c r="Q61" s="618"/>
      <c r="R61" s="618"/>
      <c r="S61" s="618"/>
      <c r="T61" s="618"/>
      <c r="U61" s="618"/>
      <c r="V61" s="618"/>
      <c r="AF61" s="521"/>
      <c r="AG61" s="521"/>
      <c r="AH61" s="521"/>
      <c r="AI61" s="521"/>
      <c r="AJ61" s="521"/>
      <c r="AK61" s="521"/>
      <c r="AL61" s="521"/>
      <c r="AM61" s="521"/>
      <c r="AN61" s="521"/>
      <c r="AO61" s="521"/>
      <c r="AP61" s="521"/>
      <c r="AQ61" s="521"/>
      <c r="AR61" s="521"/>
      <c r="AS61" s="521"/>
    </row>
    <row r="62" spans="2:45" ht="16.5" customHeight="1">
      <c r="B62" s="1055"/>
      <c r="C62" s="1055"/>
      <c r="D62" s="1056" t="s">
        <v>568</v>
      </c>
      <c r="E62" s="1056"/>
      <c r="F62" s="1056"/>
      <c r="G62" s="1056"/>
      <c r="H62" s="1056"/>
      <c r="I62" s="1056"/>
      <c r="J62" s="1056"/>
      <c r="K62" s="1056"/>
      <c r="L62" s="1056"/>
      <c r="M62" s="1056"/>
      <c r="N62" s="1056"/>
      <c r="O62" s="583"/>
      <c r="P62" s="583"/>
      <c r="Q62" s="583"/>
      <c r="R62" s="583"/>
      <c r="S62" s="583"/>
      <c r="T62" s="583"/>
      <c r="U62" s="583"/>
      <c r="V62" s="583"/>
      <c r="AF62" s="521"/>
      <c r="AG62" s="521"/>
      <c r="AH62" s="521"/>
      <c r="AI62" s="521"/>
      <c r="AJ62" s="521"/>
      <c r="AK62" s="521"/>
      <c r="AL62" s="521"/>
      <c r="AM62" s="521"/>
      <c r="AN62" s="521"/>
      <c r="AO62" s="521"/>
      <c r="AP62" s="521"/>
      <c r="AQ62" s="521"/>
      <c r="AR62" s="521"/>
      <c r="AS62" s="521"/>
    </row>
    <row r="63" spans="2:45" ht="15" customHeight="1">
      <c r="B63"/>
      <c r="C63" s="619"/>
      <c r="D63" s="619"/>
      <c r="E63" s="620" t="s">
        <v>569</v>
      </c>
      <c r="F63" s="619"/>
      <c r="G63" s="619"/>
      <c r="H63" s="619"/>
      <c r="I63" s="619"/>
      <c r="J63" s="619"/>
      <c r="K63" s="619"/>
      <c r="L63" s="619"/>
      <c r="M63" s="619"/>
      <c r="N63" s="619"/>
      <c r="O63" s="583"/>
      <c r="P63" s="583"/>
      <c r="Q63" s="583"/>
      <c r="R63" s="583"/>
      <c r="S63" s="583"/>
      <c r="T63" s="583"/>
      <c r="U63" s="583"/>
      <c r="V63" s="583"/>
      <c r="AF63" s="521"/>
      <c r="AG63" s="521"/>
      <c r="AH63" s="521"/>
      <c r="AI63" s="521"/>
      <c r="AJ63" s="521"/>
      <c r="AK63" s="521"/>
      <c r="AL63" s="521"/>
      <c r="AM63" s="521"/>
      <c r="AN63" s="521"/>
      <c r="AO63" s="521"/>
      <c r="AP63" s="521"/>
      <c r="AQ63" s="521"/>
      <c r="AR63" s="521"/>
      <c r="AS63" s="521"/>
    </row>
    <row r="64" spans="2:45" ht="13.5" customHeight="1">
      <c r="B64" s="621"/>
      <c r="C64" s="622"/>
      <c r="D64" s="623"/>
      <c r="E64" s="623"/>
      <c r="F64" s="623"/>
      <c r="G64" s="623"/>
      <c r="H64" s="623"/>
      <c r="I64" s="623"/>
      <c r="J64" s="623"/>
      <c r="K64" s="623"/>
      <c r="L64" s="623"/>
      <c r="M64" s="623"/>
      <c r="N64" s="623"/>
      <c r="O64" s="623"/>
      <c r="P64" s="623"/>
      <c r="Q64" s="623"/>
      <c r="R64" s="623"/>
      <c r="S64" s="623"/>
      <c r="T64" s="623"/>
      <c r="U64" s="623"/>
      <c r="V64" s="623"/>
      <c r="AF64" s="521"/>
      <c r="AG64" s="521"/>
      <c r="AH64" s="521"/>
      <c r="AI64" s="521"/>
      <c r="AJ64" s="521"/>
      <c r="AK64" s="521"/>
      <c r="AL64" s="521"/>
      <c r="AM64" s="521"/>
      <c r="AN64" s="521"/>
      <c r="AO64" s="521"/>
      <c r="AP64" s="521"/>
      <c r="AQ64" s="521"/>
      <c r="AR64" s="521"/>
      <c r="AS64" s="521"/>
    </row>
    <row r="65" spans="2:45" ht="13.5" customHeight="1">
      <c r="B65" s="622"/>
      <c r="C65" s="622"/>
      <c r="D65" s="623"/>
      <c r="E65" s="623"/>
      <c r="F65" s="623"/>
      <c r="G65" s="623"/>
      <c r="H65" s="623"/>
      <c r="I65" s="623"/>
      <c r="J65" s="623"/>
      <c r="K65" s="623"/>
      <c r="L65" s="623"/>
      <c r="M65" s="623"/>
      <c r="N65" s="623"/>
      <c r="O65" s="623"/>
      <c r="P65" s="623"/>
      <c r="Q65" s="623"/>
      <c r="R65" s="623"/>
      <c r="S65" s="623"/>
      <c r="T65" s="623"/>
      <c r="U65" s="623"/>
      <c r="V65" s="623"/>
      <c r="W65" s="623"/>
      <c r="X65" s="623"/>
      <c r="Y65" s="521"/>
      <c r="Z65" s="521"/>
      <c r="AA65" s="521"/>
      <c r="AB65" s="521"/>
      <c r="AC65" s="521"/>
      <c r="AD65" s="521"/>
      <c r="AE65" s="521"/>
      <c r="AF65" s="521"/>
      <c r="AG65" s="521"/>
      <c r="AH65" s="521"/>
      <c r="AI65" s="521"/>
      <c r="AJ65" s="521"/>
      <c r="AK65" s="521"/>
      <c r="AL65" s="521"/>
      <c r="AM65" s="521"/>
      <c r="AN65" s="521"/>
      <c r="AO65" s="521"/>
      <c r="AP65" s="521"/>
      <c r="AQ65" s="521"/>
      <c r="AR65" s="521"/>
      <c r="AS65" s="521"/>
    </row>
    <row r="66" spans="2:45" ht="13.5" customHeight="1">
      <c r="B66" s="622"/>
      <c r="C66" s="622"/>
      <c r="D66" s="500"/>
      <c r="E66" s="624"/>
      <c r="F66" s="624"/>
      <c r="G66" s="624"/>
      <c r="H66" s="624"/>
      <c r="I66" s="500"/>
      <c r="J66" s="500"/>
      <c r="K66" s="500"/>
      <c r="L66" s="500"/>
      <c r="M66" s="500"/>
      <c r="N66" s="500"/>
      <c r="O66" s="500"/>
      <c r="P66" s="500"/>
      <c r="Q66" s="500"/>
      <c r="R66" s="500"/>
      <c r="S66" s="500"/>
      <c r="T66" s="500"/>
      <c r="U66" s="500"/>
      <c r="V66" s="500"/>
      <c r="W66" s="500"/>
      <c r="X66" s="500"/>
      <c r="Y66" s="521"/>
      <c r="Z66" s="521"/>
      <c r="AA66" s="521"/>
      <c r="AB66" s="521"/>
      <c r="AC66" s="521"/>
      <c r="AD66" s="521"/>
      <c r="AE66" s="521"/>
      <c r="AF66" s="521"/>
      <c r="AG66" s="521"/>
      <c r="AH66" s="521"/>
      <c r="AI66" s="521"/>
      <c r="AJ66" s="521"/>
      <c r="AK66" s="521"/>
      <c r="AL66" s="521"/>
      <c r="AM66" s="521"/>
      <c r="AN66" s="521"/>
      <c r="AO66" s="521"/>
      <c r="AP66" s="521"/>
      <c r="AQ66" s="521"/>
      <c r="AR66" s="521"/>
      <c r="AS66" s="521"/>
    </row>
    <row r="67" spans="2:45" ht="13.5" customHeight="1">
      <c r="B67" s="622"/>
      <c r="C67" s="625"/>
      <c r="D67" s="625"/>
      <c r="E67" s="625"/>
      <c r="F67" s="625"/>
      <c r="G67" s="625"/>
      <c r="H67" s="625"/>
      <c r="I67" s="500"/>
      <c r="J67" s="500"/>
      <c r="K67" s="500"/>
      <c r="L67" s="500"/>
      <c r="M67" s="500"/>
      <c r="N67" s="500"/>
      <c r="O67" s="500"/>
      <c r="P67" s="500"/>
      <c r="Q67" s="500"/>
      <c r="R67" s="500"/>
      <c r="S67" s="500"/>
      <c r="T67" s="500"/>
      <c r="U67" s="500"/>
      <c r="V67" s="500"/>
      <c r="W67" s="500"/>
      <c r="X67" s="500"/>
      <c r="Y67" s="521"/>
      <c r="Z67" s="521"/>
      <c r="AA67" s="521"/>
      <c r="AB67" s="521"/>
      <c r="AC67" s="521"/>
      <c r="AD67" s="521"/>
      <c r="AE67" s="521"/>
      <c r="AF67" s="521"/>
      <c r="AG67" s="521"/>
      <c r="AH67" s="521"/>
      <c r="AI67" s="521"/>
      <c r="AJ67" s="521"/>
      <c r="AK67" s="521"/>
      <c r="AL67" s="521"/>
      <c r="AM67" s="521"/>
      <c r="AN67" s="521"/>
      <c r="AO67" s="521"/>
      <c r="AP67" s="521"/>
      <c r="AQ67" s="521"/>
      <c r="AR67" s="521"/>
      <c r="AS67" s="521"/>
    </row>
    <row r="68" spans="2:45" ht="13.5" customHeight="1">
      <c r="B68" s="626"/>
      <c r="C68" s="622"/>
      <c r="D68" s="624"/>
      <c r="E68" s="624"/>
      <c r="F68" s="624"/>
      <c r="G68" s="624"/>
      <c r="H68" s="624"/>
      <c r="I68" s="500"/>
      <c r="J68" s="500"/>
      <c r="K68" s="500"/>
      <c r="L68" s="500"/>
      <c r="M68" s="500"/>
      <c r="N68" s="500"/>
      <c r="O68" s="500"/>
      <c r="P68" s="500"/>
      <c r="Q68" s="500"/>
      <c r="R68" s="500"/>
      <c r="S68" s="500"/>
      <c r="T68" s="500"/>
      <c r="U68" s="500"/>
      <c r="V68" s="500"/>
      <c r="W68" s="500"/>
      <c r="X68" s="500"/>
      <c r="Y68" s="521"/>
      <c r="Z68" s="521"/>
      <c r="AA68" s="521"/>
      <c r="AB68" s="521"/>
      <c r="AC68" s="521"/>
      <c r="AD68" s="521"/>
      <c r="AE68" s="521"/>
      <c r="AF68" s="521"/>
      <c r="AG68" s="521"/>
      <c r="AH68" s="521"/>
      <c r="AI68" s="521"/>
      <c r="AJ68" s="521"/>
      <c r="AK68" s="521"/>
      <c r="AL68" s="521"/>
      <c r="AM68" s="521"/>
      <c r="AN68" s="521"/>
      <c r="AO68" s="521"/>
      <c r="AP68" s="521"/>
      <c r="AQ68" s="521"/>
      <c r="AR68" s="521"/>
      <c r="AS68" s="521"/>
    </row>
    <row r="69" spans="2:45" ht="13.5" customHeight="1">
      <c r="B69" s="627"/>
      <c r="C69" s="622"/>
      <c r="D69" s="624"/>
      <c r="E69" s="624"/>
      <c r="F69" s="624"/>
      <c r="G69" s="624"/>
      <c r="H69" s="624"/>
      <c r="I69" s="500"/>
      <c r="J69" s="500"/>
      <c r="K69" s="500"/>
      <c r="L69" s="500"/>
      <c r="M69" s="500"/>
      <c r="N69" s="500"/>
      <c r="O69" s="500"/>
      <c r="P69" s="500"/>
      <c r="Q69" s="500"/>
      <c r="R69" s="500"/>
      <c r="S69" s="500"/>
      <c r="T69" s="500"/>
      <c r="U69" s="500"/>
      <c r="V69" s="500"/>
      <c r="W69" s="500"/>
      <c r="X69" s="500"/>
      <c r="Y69" s="521"/>
      <c r="Z69" s="521"/>
      <c r="AA69" s="521"/>
      <c r="AB69" s="521"/>
      <c r="AC69" s="521"/>
      <c r="AD69" s="521"/>
      <c r="AE69" s="521"/>
      <c r="AF69" s="521"/>
      <c r="AG69" s="521"/>
      <c r="AH69" s="521"/>
      <c r="AI69" s="521"/>
      <c r="AJ69" s="521"/>
      <c r="AK69" s="521"/>
      <c r="AL69" s="521"/>
      <c r="AM69" s="521"/>
      <c r="AN69" s="521"/>
      <c r="AO69" s="521"/>
      <c r="AP69" s="521"/>
      <c r="AQ69" s="521"/>
      <c r="AR69" s="521"/>
      <c r="AS69" s="521"/>
    </row>
    <row r="70" spans="2:45" ht="16.5">
      <c r="B70" s="627"/>
      <c r="C70" s="413"/>
      <c r="D70" s="500"/>
      <c r="E70" s="500"/>
      <c r="F70" s="500"/>
      <c r="H70" s="500"/>
      <c r="I70" s="500"/>
      <c r="J70" s="500"/>
      <c r="K70" s="500"/>
      <c r="L70" s="500"/>
      <c r="M70" s="500"/>
      <c r="N70" s="500"/>
      <c r="O70" s="500"/>
      <c r="P70" s="500"/>
      <c r="Q70" s="500"/>
      <c r="R70" s="500"/>
      <c r="S70" s="500"/>
      <c r="T70" s="500"/>
      <c r="U70" s="500"/>
      <c r="V70" s="500"/>
      <c r="W70" s="500"/>
      <c r="X70" s="500"/>
      <c r="Y70" s="628"/>
      <c r="Z70" s="521"/>
      <c r="AA70" s="521"/>
      <c r="AB70" s="521"/>
      <c r="AC70" s="521"/>
      <c r="AD70" s="521"/>
      <c r="AE70" s="521"/>
      <c r="AF70" s="521"/>
      <c r="AG70" s="521"/>
      <c r="AH70" s="521"/>
      <c r="AI70" s="521"/>
      <c r="AJ70" s="521"/>
      <c r="AK70" s="521"/>
      <c r="AL70" s="521"/>
      <c r="AM70" s="521"/>
      <c r="AN70" s="521"/>
      <c r="AO70" s="521"/>
      <c r="AP70" s="521"/>
      <c r="AQ70" s="521"/>
      <c r="AR70" s="521"/>
      <c r="AS70" s="521"/>
    </row>
    <row r="71" spans="2:45" ht="16.5">
      <c r="B71" s="627"/>
      <c r="C71" s="413"/>
      <c r="D71" s="500"/>
      <c r="E71" s="500"/>
      <c r="F71" s="500"/>
      <c r="G71" s="500"/>
      <c r="H71" s="500"/>
      <c r="I71" s="500"/>
      <c r="J71" s="500"/>
      <c r="K71" s="500"/>
      <c r="L71" s="500"/>
      <c r="M71" s="500"/>
      <c r="N71" s="500"/>
      <c r="O71" s="500"/>
      <c r="P71" s="500"/>
      <c r="Q71" s="500"/>
      <c r="R71" s="500"/>
      <c r="S71" s="500"/>
      <c r="T71" s="500"/>
      <c r="U71" s="500"/>
      <c r="V71" s="500"/>
      <c r="W71" s="500"/>
      <c r="X71" s="500"/>
      <c r="Y71" s="628"/>
      <c r="Z71" s="521"/>
      <c r="AA71" s="521"/>
      <c r="AB71" s="521"/>
      <c r="AC71" s="521"/>
      <c r="AD71" s="521"/>
      <c r="AE71" s="521"/>
      <c r="AF71" s="521"/>
      <c r="AG71" s="521"/>
      <c r="AH71" s="521"/>
      <c r="AI71" s="521"/>
      <c r="AJ71" s="521"/>
      <c r="AK71" s="521"/>
      <c r="AL71" s="521"/>
      <c r="AM71" s="521"/>
      <c r="AN71" s="521"/>
      <c r="AO71" s="521"/>
      <c r="AP71" s="521"/>
      <c r="AQ71" s="521"/>
      <c r="AR71" s="521"/>
      <c r="AS71" s="521"/>
    </row>
    <row r="72" spans="2:25" ht="16.5">
      <c r="B72" s="627"/>
      <c r="C72" s="413"/>
      <c r="D72" s="500"/>
      <c r="E72" s="500"/>
      <c r="F72" s="500"/>
      <c r="G72" s="500"/>
      <c r="H72" s="500"/>
      <c r="I72" s="500"/>
      <c r="J72" s="500"/>
      <c r="K72" s="500"/>
      <c r="L72" s="500"/>
      <c r="M72" s="500"/>
      <c r="N72" s="500"/>
      <c r="O72" s="500"/>
      <c r="P72" s="500"/>
      <c r="Q72" s="500"/>
      <c r="R72" s="500"/>
      <c r="S72" s="500"/>
      <c r="T72" s="500"/>
      <c r="U72" s="500"/>
      <c r="V72" s="500"/>
      <c r="W72" s="500"/>
      <c r="X72" s="500"/>
      <c r="Y72" s="500"/>
    </row>
    <row r="73" spans="2:25" ht="13.5">
      <c r="B73" s="500"/>
      <c r="C73" s="413"/>
      <c r="D73" s="500"/>
      <c r="E73" s="500"/>
      <c r="F73" s="500"/>
      <c r="G73" s="500"/>
      <c r="H73" s="500"/>
      <c r="I73" s="500"/>
      <c r="J73" s="500"/>
      <c r="K73" s="500"/>
      <c r="L73" s="500"/>
      <c r="M73" s="500"/>
      <c r="N73" s="500"/>
      <c r="O73" s="500"/>
      <c r="P73" s="500"/>
      <c r="Q73" s="500"/>
      <c r="R73" s="500"/>
      <c r="S73" s="500"/>
      <c r="T73" s="500"/>
      <c r="U73" s="500"/>
      <c r="V73" s="500"/>
      <c r="W73" s="500"/>
      <c r="X73" s="500"/>
      <c r="Y73" s="500"/>
    </row>
    <row r="74" spans="2:25" ht="13.5">
      <c r="B74" s="500"/>
      <c r="C74" s="413"/>
      <c r="D74" s="500"/>
      <c r="E74" s="500"/>
      <c r="F74" s="500"/>
      <c r="G74" s="500"/>
      <c r="H74" s="500"/>
      <c r="I74" s="500"/>
      <c r="J74" s="500"/>
      <c r="K74" s="500"/>
      <c r="L74" s="500"/>
      <c r="M74" s="500"/>
      <c r="N74" s="500"/>
      <c r="O74" s="500"/>
      <c r="P74" s="500"/>
      <c r="Q74" s="500"/>
      <c r="R74" s="500"/>
      <c r="S74" s="500"/>
      <c r="T74" s="500"/>
      <c r="U74" s="500"/>
      <c r="V74" s="500"/>
      <c r="W74" s="500"/>
      <c r="X74" s="500"/>
      <c r="Y74" s="500"/>
    </row>
    <row r="75" spans="2:25" ht="13.5">
      <c r="B75" s="500"/>
      <c r="C75" s="413"/>
      <c r="D75" s="500"/>
      <c r="E75" s="500"/>
      <c r="F75" s="500"/>
      <c r="G75" s="500"/>
      <c r="H75" s="500"/>
      <c r="I75" s="500"/>
      <c r="J75" s="500"/>
      <c r="K75" s="500"/>
      <c r="L75" s="500"/>
      <c r="M75" s="500"/>
      <c r="N75" s="500"/>
      <c r="O75" s="500"/>
      <c r="P75" s="500"/>
      <c r="Q75" s="500"/>
      <c r="R75" s="500"/>
      <c r="S75" s="500"/>
      <c r="T75" s="500"/>
      <c r="U75" s="500"/>
      <c r="V75" s="500"/>
      <c r="W75" s="500"/>
      <c r="X75" s="500"/>
      <c r="Y75" s="500"/>
    </row>
    <row r="76" spans="2:25" ht="13.5">
      <c r="B76" s="500"/>
      <c r="C76" s="413"/>
      <c r="D76" s="500"/>
      <c r="E76" s="500"/>
      <c r="F76" s="500"/>
      <c r="G76" s="500"/>
      <c r="H76" s="500"/>
      <c r="I76" s="500"/>
      <c r="J76" s="500"/>
      <c r="K76" s="500"/>
      <c r="L76" s="500"/>
      <c r="M76" s="500"/>
      <c r="N76" s="500"/>
      <c r="O76" s="500"/>
      <c r="P76" s="500"/>
      <c r="Q76" s="500"/>
      <c r="R76" s="500"/>
      <c r="S76" s="500"/>
      <c r="T76" s="500"/>
      <c r="U76" s="500"/>
      <c r="V76" s="500"/>
      <c r="W76" s="500"/>
      <c r="X76" s="500"/>
      <c r="Y76" s="500"/>
    </row>
    <row r="77" spans="2:25" ht="13.5">
      <c r="B77" s="500"/>
      <c r="C77" s="413"/>
      <c r="D77" s="500"/>
      <c r="E77" s="500"/>
      <c r="F77" s="500"/>
      <c r="G77" s="500"/>
      <c r="H77" s="500"/>
      <c r="I77" s="500"/>
      <c r="J77" s="500"/>
      <c r="K77" s="500"/>
      <c r="L77" s="500"/>
      <c r="M77" s="500"/>
      <c r="N77" s="500"/>
      <c r="O77" s="500"/>
      <c r="P77" s="500"/>
      <c r="Q77" s="500"/>
      <c r="R77" s="500"/>
      <c r="S77" s="500"/>
      <c r="T77" s="500"/>
      <c r="U77" s="500"/>
      <c r="V77" s="500"/>
      <c r="W77" s="500"/>
      <c r="X77" s="500"/>
      <c r="Y77" s="500"/>
    </row>
    <row r="78" spans="2:25" ht="13.5">
      <c r="B78" s="500"/>
      <c r="C78" s="413"/>
      <c r="D78" s="500"/>
      <c r="E78" s="500"/>
      <c r="F78" s="500"/>
      <c r="G78" s="500"/>
      <c r="H78" s="500"/>
      <c r="I78" s="500"/>
      <c r="J78" s="500"/>
      <c r="K78" s="500"/>
      <c r="L78" s="500"/>
      <c r="M78" s="500"/>
      <c r="N78" s="500"/>
      <c r="O78" s="500"/>
      <c r="P78" s="500"/>
      <c r="Q78" s="500"/>
      <c r="R78" s="500"/>
      <c r="S78" s="500"/>
      <c r="T78" s="500"/>
      <c r="U78" s="500"/>
      <c r="V78" s="500"/>
      <c r="W78" s="500"/>
      <c r="X78" s="500"/>
      <c r="Y78" s="500"/>
    </row>
    <row r="79" spans="2:24" ht="13.5">
      <c r="B79" s="500"/>
      <c r="C79" s="413"/>
      <c r="D79" s="500"/>
      <c r="E79" s="500"/>
      <c r="F79" s="500"/>
      <c r="G79" s="500"/>
      <c r="H79" s="500"/>
      <c r="I79" s="500"/>
      <c r="J79" s="500"/>
      <c r="K79" s="500"/>
      <c r="L79" s="500"/>
      <c r="M79" s="500"/>
      <c r="N79" s="500"/>
      <c r="O79" s="500"/>
      <c r="P79" s="500"/>
      <c r="Q79" s="500"/>
      <c r="R79" s="500"/>
      <c r="S79" s="500"/>
      <c r="T79" s="500"/>
      <c r="U79" s="500"/>
      <c r="V79" s="500"/>
      <c r="W79" s="500"/>
      <c r="X79" s="500"/>
    </row>
    <row r="80" spans="2:24" ht="13.5">
      <c r="B80" s="500"/>
      <c r="C80" s="413"/>
      <c r="D80" s="500"/>
      <c r="E80" s="500"/>
      <c r="F80" s="500"/>
      <c r="G80" s="500"/>
      <c r="H80" s="500"/>
      <c r="I80" s="500"/>
      <c r="J80" s="500"/>
      <c r="K80" s="500"/>
      <c r="L80" s="500"/>
      <c r="M80" s="500"/>
      <c r="N80" s="500"/>
      <c r="O80" s="500"/>
      <c r="P80" s="500"/>
      <c r="Q80" s="500"/>
      <c r="R80" s="500"/>
      <c r="S80" s="500"/>
      <c r="T80" s="500"/>
      <c r="U80" s="500"/>
      <c r="V80" s="500"/>
      <c r="W80" s="500"/>
      <c r="X80" s="500"/>
    </row>
    <row r="81" spans="2:24" ht="13.5">
      <c r="B81" s="500"/>
      <c r="C81" s="413"/>
      <c r="D81" s="500"/>
      <c r="E81" s="500"/>
      <c r="F81" s="500"/>
      <c r="G81" s="500"/>
      <c r="H81" s="500"/>
      <c r="I81" s="500"/>
      <c r="J81" s="500"/>
      <c r="K81" s="500"/>
      <c r="L81" s="500"/>
      <c r="M81" s="500"/>
      <c r="N81" s="500"/>
      <c r="O81" s="500"/>
      <c r="P81" s="500"/>
      <c r="Q81" s="500"/>
      <c r="R81" s="500"/>
      <c r="S81" s="500"/>
      <c r="T81" s="500"/>
      <c r="U81" s="500"/>
      <c r="V81" s="500"/>
      <c r="W81" s="500"/>
      <c r="X81" s="500"/>
    </row>
    <row r="82" spans="2:24" ht="13.5">
      <c r="B82" s="500"/>
      <c r="C82" s="413"/>
      <c r="D82" s="500"/>
      <c r="E82" s="500"/>
      <c r="F82" s="500"/>
      <c r="G82" s="500"/>
      <c r="H82" s="500"/>
      <c r="I82" s="500"/>
      <c r="J82" s="500"/>
      <c r="K82" s="500"/>
      <c r="L82" s="500"/>
      <c r="M82" s="500"/>
      <c r="N82" s="500"/>
      <c r="O82" s="500"/>
      <c r="P82" s="500"/>
      <c r="Q82" s="500"/>
      <c r="R82" s="500"/>
      <c r="S82" s="500"/>
      <c r="T82" s="500"/>
      <c r="U82" s="500"/>
      <c r="V82" s="500"/>
      <c r="W82" s="500"/>
      <c r="X82" s="500"/>
    </row>
    <row r="83" spans="2:24" ht="13.5">
      <c r="B83" s="500"/>
      <c r="C83" s="413"/>
      <c r="D83" s="500"/>
      <c r="E83" s="500"/>
      <c r="F83" s="500"/>
      <c r="G83" s="500"/>
      <c r="H83" s="500"/>
      <c r="I83" s="500"/>
      <c r="J83" s="500"/>
      <c r="K83" s="500"/>
      <c r="L83" s="500"/>
      <c r="M83" s="500"/>
      <c r="N83" s="500"/>
      <c r="O83" s="500"/>
      <c r="P83" s="500"/>
      <c r="Q83" s="500"/>
      <c r="R83" s="500"/>
      <c r="S83" s="500"/>
      <c r="T83" s="500"/>
      <c r="U83" s="500"/>
      <c r="V83" s="500"/>
      <c r="W83" s="500"/>
      <c r="X83" s="500"/>
    </row>
    <row r="84" ht="13.5">
      <c r="C84" s="629"/>
    </row>
    <row r="85" ht="13.5">
      <c r="C85" s="629"/>
    </row>
    <row r="86" ht="13.5">
      <c r="C86" s="629"/>
    </row>
    <row r="87" ht="13.5">
      <c r="C87" s="629"/>
    </row>
    <row r="88" ht="13.5">
      <c r="C88" s="629"/>
    </row>
    <row r="89" ht="13.5">
      <c r="C89" s="629"/>
    </row>
    <row r="90" ht="13.5">
      <c r="C90" s="629"/>
    </row>
    <row r="91" ht="13.5">
      <c r="AA91" s="521"/>
    </row>
    <row r="92" ht="13.5">
      <c r="C92" s="629"/>
    </row>
    <row r="93" ht="13.5">
      <c r="C93" s="629"/>
    </row>
    <row r="94" ht="13.5">
      <c r="C94" s="629"/>
    </row>
    <row r="95" ht="13.5">
      <c r="C95" s="629"/>
    </row>
    <row r="96" ht="13.5">
      <c r="C96" s="629"/>
    </row>
    <row r="97" ht="13.5">
      <c r="C97" s="629"/>
    </row>
    <row r="98" ht="13.5">
      <c r="C98" s="629"/>
    </row>
    <row r="99" ht="13.5">
      <c r="C99" s="629"/>
    </row>
    <row r="100" ht="13.5">
      <c r="C100" s="629"/>
    </row>
    <row r="101" ht="13.5">
      <c r="C101" s="629"/>
    </row>
    <row r="102" ht="13.5">
      <c r="C102" s="629"/>
    </row>
    <row r="103" ht="13.5">
      <c r="C103" s="629"/>
    </row>
    <row r="104" ht="13.5">
      <c r="C104" s="629"/>
    </row>
    <row r="105" ht="13.5">
      <c r="C105" s="629"/>
    </row>
    <row r="106" ht="13.5">
      <c r="C106" s="629"/>
    </row>
    <row r="107" ht="13.5">
      <c r="C107" s="629"/>
    </row>
    <row r="108" ht="13.5">
      <c r="C108" s="629"/>
    </row>
    <row r="109" ht="13.5">
      <c r="C109" s="629"/>
    </row>
    <row r="110" ht="13.5">
      <c r="C110" s="629"/>
    </row>
  </sheetData>
  <sheetProtection selectLockedCells="1" selectUnlockedCells="1"/>
  <mergeCells count="63">
    <mergeCell ref="B62:C62"/>
    <mergeCell ref="D62:N62"/>
    <mergeCell ref="C41:G41"/>
    <mergeCell ref="C42:E42"/>
    <mergeCell ref="I42:J42"/>
    <mergeCell ref="K42:L42"/>
    <mergeCell ref="D47:E47"/>
    <mergeCell ref="D48:E48"/>
    <mergeCell ref="C34:H34"/>
    <mergeCell ref="C35:H35"/>
    <mergeCell ref="C36:H36"/>
    <mergeCell ref="C37:H37"/>
    <mergeCell ref="C38:H38"/>
    <mergeCell ref="C40:E40"/>
    <mergeCell ref="D24:H24"/>
    <mergeCell ref="D25:H25"/>
    <mergeCell ref="C27:H27"/>
    <mergeCell ref="D29:E29"/>
    <mergeCell ref="C30:H30"/>
    <mergeCell ref="C31:H31"/>
    <mergeCell ref="B18:N18"/>
    <mergeCell ref="B19:N19"/>
    <mergeCell ref="C20:D20"/>
    <mergeCell ref="D21:H21"/>
    <mergeCell ref="D22:H22"/>
    <mergeCell ref="D23:H23"/>
    <mergeCell ref="B15:D15"/>
    <mergeCell ref="F15:G15"/>
    <mergeCell ref="I15:J17"/>
    <mergeCell ref="K15:L17"/>
    <mergeCell ref="M15:N17"/>
    <mergeCell ref="B16:D16"/>
    <mergeCell ref="F16:G16"/>
    <mergeCell ref="B17:D17"/>
    <mergeCell ref="F17:G17"/>
    <mergeCell ref="B12:N12"/>
    <mergeCell ref="B13:D13"/>
    <mergeCell ref="F13:G13"/>
    <mergeCell ref="I13:L13"/>
    <mergeCell ref="M13:N13"/>
    <mergeCell ref="B14:D14"/>
    <mergeCell ref="F14:G14"/>
    <mergeCell ref="I14:J14"/>
    <mergeCell ref="K14:L14"/>
    <mergeCell ref="M14:N14"/>
    <mergeCell ref="B10:H10"/>
    <mergeCell ref="I10:N10"/>
    <mergeCell ref="B11:D11"/>
    <mergeCell ref="E11:G11"/>
    <mergeCell ref="I11:K11"/>
    <mergeCell ref="L11:N11"/>
    <mergeCell ref="B7:H7"/>
    <mergeCell ref="I7:N7"/>
    <mergeCell ref="B8:H8"/>
    <mergeCell ref="I8:N8"/>
    <mergeCell ref="B9:H9"/>
    <mergeCell ref="I9:N9"/>
    <mergeCell ref="B1:N1"/>
    <mergeCell ref="B2:N3"/>
    <mergeCell ref="B4:H4"/>
    <mergeCell ref="I4:N4"/>
    <mergeCell ref="B6:H6"/>
    <mergeCell ref="I6:N6"/>
  </mergeCells>
  <conditionalFormatting sqref="R29:S30">
    <cfRule type="expression" priority="1" dxfId="1" stopIfTrue="1">
      <formula>"if($R$29:$S$30=0,""-"""</formula>
    </cfRule>
  </conditionalFormatting>
  <hyperlinks>
    <hyperlink ref="E63" r:id="rId1" display="www.stuapkurnool.blogspot.com"/>
  </hyperlinks>
  <printOptions horizontalCentered="1" verticalCentered="1"/>
  <pageMargins left="0.20972222222222223" right="0.2701388888888889" top="0.3402777777777778" bottom="0.2902777777777778" header="0.5118055555555555" footer="0.5118055555555555"/>
  <pageSetup horizontalDpi="300" verticalDpi="300" orientation="portrait" paperSize="9" scale="90"/>
  <drawing r:id="rId2"/>
</worksheet>
</file>

<file path=xl/worksheets/sheet8.xml><?xml version="1.0" encoding="utf-8"?>
<worksheet xmlns="http://schemas.openxmlformats.org/spreadsheetml/2006/main" xmlns:r="http://schemas.openxmlformats.org/officeDocument/2006/relationships">
  <sheetPr>
    <tabColor indexed="29"/>
  </sheetPr>
  <dimension ref="A1:IV237"/>
  <sheetViews>
    <sheetView showGridLines="0" zoomScalePageLayoutView="0" workbookViewId="0" topLeftCell="A47">
      <selection activeCell="G63" sqref="G63"/>
    </sheetView>
  </sheetViews>
  <sheetFormatPr defaultColWidth="9.140625" defaultRowHeight="15"/>
  <cols>
    <col min="1" max="1" width="1.421875" style="521" customWidth="1"/>
    <col min="2" max="2" width="3.421875" style="521" customWidth="1"/>
    <col min="3" max="3" width="3.28125" style="521" customWidth="1"/>
    <col min="4" max="4" width="3.140625" style="521" customWidth="1"/>
    <col min="5" max="5" width="9.57421875" style="521" customWidth="1"/>
    <col min="6" max="6" width="12.8515625" style="521" customWidth="1"/>
    <col min="7" max="7" width="23.00390625" style="521" customWidth="1"/>
    <col min="8" max="8" width="3.7109375" style="521" customWidth="1"/>
    <col min="9" max="9" width="8.7109375" style="521" customWidth="1"/>
    <col min="10" max="10" width="10.28125" style="521" customWidth="1"/>
    <col min="11" max="11" width="10.421875" style="521" customWidth="1"/>
    <col min="12" max="12" width="3.140625" style="521" customWidth="1"/>
    <col min="13" max="13" width="13.00390625" style="521" customWidth="1"/>
    <col min="14" max="14" width="3.00390625" style="521" customWidth="1"/>
    <col min="15" max="28" width="8.57421875" style="521" customWidth="1"/>
    <col min="29" max="30" width="9.140625" style="521" customWidth="1"/>
    <col min="31" max="31" width="7.7109375" style="521" customWidth="1"/>
    <col min="32" max="32" width="6.8515625" style="521" customWidth="1"/>
    <col min="33" max="33" width="11.28125" style="521" customWidth="1"/>
    <col min="34" max="113" width="9.140625" style="521" customWidth="1"/>
    <col min="114" max="114" width="9.421875" style="521" customWidth="1"/>
    <col min="115" max="158" width="9.140625" style="521" customWidth="1"/>
    <col min="159" max="159" width="6.140625" style="521" customWidth="1"/>
    <col min="160" max="160" width="7.421875" style="521" customWidth="1"/>
    <col min="161" max="161" width="6.8515625" style="521" customWidth="1"/>
    <col min="162" max="16384" width="9.140625" style="521" customWidth="1"/>
  </cols>
  <sheetData>
    <row r="1" spans="15:28" ht="7.5" customHeight="1">
      <c r="O1" s="628"/>
      <c r="P1" s="628"/>
      <c r="Q1" s="628"/>
      <c r="R1" s="628"/>
      <c r="S1" s="628"/>
      <c r="T1" s="628"/>
      <c r="U1" s="628"/>
      <c r="V1" s="628"/>
      <c r="W1" s="628"/>
      <c r="X1" s="628"/>
      <c r="Y1" s="628"/>
      <c r="Z1" s="628"/>
      <c r="AA1" s="628"/>
      <c r="AB1" s="628"/>
    </row>
    <row r="2" spans="2:28" ht="18.75" customHeight="1">
      <c r="B2" s="630" t="s">
        <v>570</v>
      </c>
      <c r="C2" s="1059" t="s">
        <v>571</v>
      </c>
      <c r="D2" s="1059"/>
      <c r="E2" s="1059"/>
      <c r="F2" s="1059"/>
      <c r="G2" s="1059"/>
      <c r="H2" s="1060" t="s">
        <v>544</v>
      </c>
      <c r="I2" s="1060"/>
      <c r="J2" s="631" t="s">
        <v>545</v>
      </c>
      <c r="K2" s="631" t="s">
        <v>546</v>
      </c>
      <c r="L2" s="632"/>
      <c r="M2" s="633"/>
      <c r="N2" s="634"/>
      <c r="O2" s="634"/>
      <c r="P2" s="634"/>
      <c r="Q2" s="634"/>
      <c r="R2" s="634"/>
      <c r="S2" s="634"/>
      <c r="T2" s="634"/>
      <c r="U2" s="634"/>
      <c r="V2" s="634"/>
      <c r="W2" s="634"/>
      <c r="X2" s="634"/>
      <c r="Y2" s="634"/>
      <c r="Z2" s="634"/>
      <c r="AA2" s="634"/>
      <c r="AB2" s="628"/>
    </row>
    <row r="3" spans="2:30" ht="18.75" customHeight="1">
      <c r="B3" s="635"/>
      <c r="C3" s="1061" t="s">
        <v>572</v>
      </c>
      <c r="D3" s="1061"/>
      <c r="E3" s="1061"/>
      <c r="F3" s="1061"/>
      <c r="G3" s="1061"/>
      <c r="H3" s="1062" t="s">
        <v>548</v>
      </c>
      <c r="I3" s="1062"/>
      <c r="J3" s="636" t="s">
        <v>548</v>
      </c>
      <c r="K3" s="636" t="s">
        <v>548</v>
      </c>
      <c r="L3" s="637"/>
      <c r="M3" s="638"/>
      <c r="N3" s="634"/>
      <c r="O3" s="634"/>
      <c r="P3" s="634"/>
      <c r="Q3" s="634"/>
      <c r="R3" s="634"/>
      <c r="S3" s="634"/>
      <c r="T3" s="634"/>
      <c r="U3" s="634"/>
      <c r="V3" s="634"/>
      <c r="W3" s="634"/>
      <c r="X3" s="634"/>
      <c r="Y3" s="634"/>
      <c r="Z3" s="634"/>
      <c r="AA3" s="634"/>
      <c r="AC3" s="639"/>
      <c r="AD3" s="628"/>
    </row>
    <row r="4" spans="2:36" ht="15" customHeight="1">
      <c r="B4" s="640"/>
      <c r="C4" s="641" t="s">
        <v>573</v>
      </c>
      <c r="D4" s="642"/>
      <c r="E4" s="642"/>
      <c r="F4" s="641"/>
      <c r="G4" s="641"/>
      <c r="H4" s="643" t="s">
        <v>455</v>
      </c>
      <c r="I4" s="644">
        <f>'ITAnnexure-II'!L31</f>
        <v>2124</v>
      </c>
      <c r="J4" s="645">
        <f>I4</f>
        <v>2124</v>
      </c>
      <c r="K4" s="645">
        <f aca="true" t="shared" si="0" ref="K4:K12">J4</f>
        <v>2124</v>
      </c>
      <c r="L4" s="637"/>
      <c r="M4" s="646"/>
      <c r="N4" s="634"/>
      <c r="O4" s="634"/>
      <c r="P4" s="634"/>
      <c r="Q4" s="634"/>
      <c r="R4" s="634"/>
      <c r="S4" s="634"/>
      <c r="T4" s="634"/>
      <c r="U4" s="634"/>
      <c r="V4" s="634"/>
      <c r="W4" s="634"/>
      <c r="X4" s="634"/>
      <c r="Y4" s="634"/>
      <c r="Z4" s="634"/>
      <c r="AA4" s="634"/>
      <c r="AB4" s="628"/>
      <c r="AD4" s="647"/>
      <c r="AE4" s="648"/>
      <c r="AF4" s="648"/>
      <c r="AG4" s="649"/>
      <c r="AI4" s="650"/>
      <c r="AJ4" s="651"/>
    </row>
    <row r="5" spans="2:35" ht="15" customHeight="1">
      <c r="B5" s="640"/>
      <c r="C5" s="652" t="str">
        <f>'ITAnnexure-II'!D23</f>
        <v>80DDB-Expenditure on medical treatment</v>
      </c>
      <c r="D5" s="642"/>
      <c r="E5" s="642"/>
      <c r="F5" s="652"/>
      <c r="G5" s="653"/>
      <c r="H5" s="643" t="s">
        <v>455</v>
      </c>
      <c r="I5" s="654">
        <f>'it pro'!Y59</f>
        <v>0</v>
      </c>
      <c r="J5" s="655">
        <f>'ITAnnexure-II'!L23</f>
        <v>0</v>
      </c>
      <c r="K5" s="655">
        <f t="shared" si="0"/>
        <v>0</v>
      </c>
      <c r="L5" s="637"/>
      <c r="M5" s="646"/>
      <c r="N5" s="634"/>
      <c r="O5" s="634"/>
      <c r="P5" s="634"/>
      <c r="Q5" s="634"/>
      <c r="R5" s="634"/>
      <c r="S5" s="634"/>
      <c r="T5" s="634"/>
      <c r="U5" s="634"/>
      <c r="V5" s="634"/>
      <c r="W5" s="634"/>
      <c r="X5" s="634"/>
      <c r="Y5" s="634"/>
      <c r="Z5" s="634"/>
      <c r="AA5" s="634"/>
      <c r="AB5" s="628"/>
      <c r="AD5" s="647"/>
      <c r="AE5" s="648"/>
      <c r="AF5" s="648"/>
      <c r="AG5" s="649"/>
      <c r="AI5" s="650"/>
    </row>
    <row r="6" spans="2:35" ht="15" customHeight="1">
      <c r="B6" s="640"/>
      <c r="C6" s="652" t="str">
        <f>'ITAnnexure-II'!D24</f>
        <v>80D-Medical Insurance Premium-senior citizen dependent parents</v>
      </c>
      <c r="D6" s="642"/>
      <c r="E6" s="642"/>
      <c r="F6" s="652"/>
      <c r="G6" s="653"/>
      <c r="H6" s="643" t="s">
        <v>455</v>
      </c>
      <c r="I6" s="644">
        <f>'it pro'!Y47</f>
        <v>0</v>
      </c>
      <c r="J6" s="656">
        <f>'ITAnnexure-II'!L24</f>
        <v>0</v>
      </c>
      <c r="K6" s="656">
        <f t="shared" si="0"/>
        <v>0</v>
      </c>
      <c r="L6" s="637"/>
      <c r="M6" s="646"/>
      <c r="N6" s="634"/>
      <c r="O6" s="634"/>
      <c r="P6" s="634"/>
      <c r="Q6" s="634"/>
      <c r="R6" s="634"/>
      <c r="S6" s="634"/>
      <c r="T6" s="634"/>
      <c r="U6" s="634"/>
      <c r="V6" s="634"/>
      <c r="W6" s="634"/>
      <c r="X6" s="634"/>
      <c r="Y6" s="634"/>
      <c r="Z6" s="634"/>
      <c r="AA6" s="634"/>
      <c r="AB6" s="628"/>
      <c r="AD6" s="647"/>
      <c r="AE6" s="648"/>
      <c r="AF6" s="648"/>
      <c r="AG6" s="649"/>
      <c r="AI6" s="657"/>
    </row>
    <row r="7" spans="2:35" ht="15" customHeight="1">
      <c r="B7" s="640"/>
      <c r="C7" s="652" t="str">
        <f>'ITAnnexure-II'!D25</f>
        <v>80D-Medical Insurance Premium-Self ,Spouse &amp; Children</v>
      </c>
      <c r="D7" s="642"/>
      <c r="E7" s="642"/>
      <c r="F7" s="652"/>
      <c r="G7" s="653"/>
      <c r="H7" s="643" t="s">
        <v>455</v>
      </c>
      <c r="I7" s="644">
        <f>'it pro'!Y51</f>
        <v>360</v>
      </c>
      <c r="J7" s="656">
        <f>'ITAnnexure-II'!L25</f>
        <v>360</v>
      </c>
      <c r="K7" s="656">
        <f>J7</f>
        <v>360</v>
      </c>
      <c r="L7" s="637"/>
      <c r="M7" s="646"/>
      <c r="N7" s="634"/>
      <c r="O7" s="634"/>
      <c r="P7" s="634"/>
      <c r="Q7" s="634"/>
      <c r="R7" s="634"/>
      <c r="S7" s="634"/>
      <c r="T7" s="634"/>
      <c r="U7" s="634"/>
      <c r="V7" s="634"/>
      <c r="W7" s="634"/>
      <c r="X7" s="634"/>
      <c r="Y7" s="634"/>
      <c r="Z7" s="634"/>
      <c r="AA7" s="634"/>
      <c r="AB7" s="628"/>
      <c r="AD7" s="647"/>
      <c r="AE7" s="648"/>
      <c r="AF7" s="648"/>
      <c r="AG7" s="649"/>
      <c r="AI7" s="657"/>
    </row>
    <row r="8" spans="2:35" ht="15" customHeight="1">
      <c r="B8" s="640"/>
      <c r="C8" s="652" t="str">
        <f>'ITAnnexure-II'!D26</f>
        <v>80G-Donation of Charitable Institution</v>
      </c>
      <c r="D8" s="642"/>
      <c r="E8" s="642"/>
      <c r="F8" s="652"/>
      <c r="G8" s="653"/>
      <c r="H8" s="643" t="s">
        <v>455</v>
      </c>
      <c r="I8" s="658">
        <f>'it pro'!Y62</f>
        <v>0</v>
      </c>
      <c r="J8" s="656">
        <f>'ITAnnexure-II'!L26</f>
        <v>0</v>
      </c>
      <c r="K8" s="656">
        <f t="shared" si="0"/>
        <v>0</v>
      </c>
      <c r="L8" s="637"/>
      <c r="M8" s="646"/>
      <c r="N8" s="634"/>
      <c r="O8" s="634"/>
      <c r="P8" s="634"/>
      <c r="Q8" s="634"/>
      <c r="R8" s="634"/>
      <c r="S8" s="634"/>
      <c r="T8" s="634"/>
      <c r="U8" s="634"/>
      <c r="V8" s="634"/>
      <c r="W8" s="634"/>
      <c r="X8" s="634"/>
      <c r="Y8" s="634"/>
      <c r="Z8" s="634"/>
      <c r="AA8" s="634"/>
      <c r="AB8" s="628"/>
      <c r="AD8" s="647"/>
      <c r="AE8" s="648"/>
      <c r="AF8" s="648"/>
      <c r="AG8" s="649"/>
      <c r="AI8" s="657"/>
    </row>
    <row r="9" spans="2:35" ht="15" customHeight="1">
      <c r="B9" s="640"/>
      <c r="C9" s="652" t="str">
        <f>'it pro'!T66</f>
        <v>80E-Interest on Educational Loan</v>
      </c>
      <c r="D9" s="642"/>
      <c r="E9" s="642"/>
      <c r="F9" s="652"/>
      <c r="G9" s="653"/>
      <c r="H9" s="643" t="s">
        <v>455</v>
      </c>
      <c r="I9" s="658">
        <f>'it pro'!Y66</f>
        <v>0</v>
      </c>
      <c r="J9" s="656">
        <f>'ITAnnexure-II'!L27</f>
        <v>0</v>
      </c>
      <c r="K9" s="656">
        <f t="shared" si="0"/>
        <v>0</v>
      </c>
      <c r="L9" s="637"/>
      <c r="M9" s="646"/>
      <c r="N9" s="634"/>
      <c r="O9" s="634"/>
      <c r="P9" s="634"/>
      <c r="Q9" s="634"/>
      <c r="R9" s="634"/>
      <c r="S9" s="634"/>
      <c r="T9" s="634"/>
      <c r="U9" s="634"/>
      <c r="V9" s="634"/>
      <c r="W9" s="634"/>
      <c r="X9" s="634"/>
      <c r="Y9" s="634"/>
      <c r="Z9" s="634"/>
      <c r="AA9" s="634"/>
      <c r="AB9" s="628"/>
      <c r="AD9" s="647"/>
      <c r="AE9" s="648"/>
      <c r="AF9" s="648"/>
      <c r="AG9" s="649"/>
      <c r="AI9" s="657"/>
    </row>
    <row r="10" spans="2:35" ht="15" customHeight="1">
      <c r="B10" s="640"/>
      <c r="C10" s="652" t="s">
        <v>477</v>
      </c>
      <c r="D10" s="642"/>
      <c r="E10" s="642"/>
      <c r="F10" s="652"/>
      <c r="G10" s="653"/>
      <c r="H10" s="643" t="s">
        <v>455</v>
      </c>
      <c r="I10" s="658">
        <f>IF("Before 01/04/2013"='it data'!I33,0,'it data'!J35)</f>
        <v>0</v>
      </c>
      <c r="J10" s="656">
        <f>IF(I10&gt;100000,100000,I10)</f>
        <v>0</v>
      </c>
      <c r="K10" s="656">
        <f t="shared" si="0"/>
        <v>0</v>
      </c>
      <c r="L10" s="637"/>
      <c r="M10" s="646"/>
      <c r="N10" s="634"/>
      <c r="O10" s="634"/>
      <c r="P10" s="634"/>
      <c r="Q10" s="634"/>
      <c r="R10" s="634"/>
      <c r="S10" s="634"/>
      <c r="T10" s="634"/>
      <c r="U10" s="634"/>
      <c r="V10" s="634"/>
      <c r="W10" s="634"/>
      <c r="X10" s="634"/>
      <c r="Y10" s="634"/>
      <c r="Z10" s="634"/>
      <c r="AA10" s="634"/>
      <c r="AB10" s="628"/>
      <c r="AD10" s="647"/>
      <c r="AE10" s="648"/>
      <c r="AF10" s="648"/>
      <c r="AG10" s="649"/>
      <c r="AI10" s="657"/>
    </row>
    <row r="11" spans="2:35" ht="15" customHeight="1">
      <c r="B11" s="640"/>
      <c r="C11" s="652" t="str">
        <f>'it pro'!T70</f>
        <v>80DD-Treatment of Handicapped Dependent-above 40%disability</v>
      </c>
      <c r="D11" s="642"/>
      <c r="E11" s="642"/>
      <c r="F11" s="652"/>
      <c r="G11" s="653"/>
      <c r="H11" s="643" t="s">
        <v>455</v>
      </c>
      <c r="I11" s="658">
        <f>'it pro'!Y70</f>
        <v>0</v>
      </c>
      <c r="J11" s="656">
        <f>'ITAnnexure-II'!L29</f>
        <v>0</v>
      </c>
      <c r="K11" s="656">
        <f t="shared" si="0"/>
        <v>0</v>
      </c>
      <c r="L11" s="637"/>
      <c r="M11" s="646"/>
      <c r="N11" s="634"/>
      <c r="O11" s="634"/>
      <c r="P11" s="634"/>
      <c r="Q11" s="634"/>
      <c r="R11" s="634"/>
      <c r="S11" s="634"/>
      <c r="T11" s="634"/>
      <c r="U11" s="634"/>
      <c r="V11" s="634"/>
      <c r="W11" s="634"/>
      <c r="X11" s="634"/>
      <c r="Y11" s="634"/>
      <c r="Z11" s="634"/>
      <c r="AA11" s="634"/>
      <c r="AB11" s="628"/>
      <c r="AD11" s="647"/>
      <c r="AE11" s="648"/>
      <c r="AF11" s="648"/>
      <c r="AG11" s="649"/>
      <c r="AI11" s="657"/>
    </row>
    <row r="12" spans="2:35" ht="15" customHeight="1">
      <c r="B12" s="640"/>
      <c r="C12" s="652" t="str">
        <f>'ITAnnexure-II'!D30</f>
        <v>deductions for disabled Person</v>
      </c>
      <c r="D12" s="642"/>
      <c r="E12" s="642"/>
      <c r="F12" s="652"/>
      <c r="G12" s="653"/>
      <c r="H12" s="643" t="s">
        <v>455</v>
      </c>
      <c r="I12" s="658">
        <f>'it pro'!Y74</f>
        <v>0</v>
      </c>
      <c r="J12" s="656">
        <f>'ITAnnexure-II'!L30</f>
        <v>0</v>
      </c>
      <c r="K12" s="656">
        <f t="shared" si="0"/>
        <v>0</v>
      </c>
      <c r="L12" s="637"/>
      <c r="M12" s="646"/>
      <c r="N12" s="634"/>
      <c r="O12" s="634"/>
      <c r="P12" s="634"/>
      <c r="Q12" s="634"/>
      <c r="R12" s="634"/>
      <c r="S12" s="634"/>
      <c r="T12" s="634"/>
      <c r="U12" s="634"/>
      <c r="V12" s="634"/>
      <c r="W12" s="634"/>
      <c r="X12" s="634"/>
      <c r="Y12" s="634"/>
      <c r="Z12" s="634"/>
      <c r="AA12" s="634"/>
      <c r="AB12" s="628"/>
      <c r="AD12" s="647"/>
      <c r="AE12" s="648"/>
      <c r="AF12" s="648"/>
      <c r="AG12" s="649"/>
      <c r="AI12" s="657"/>
    </row>
    <row r="13" spans="2:35" ht="15" customHeight="1">
      <c r="B13" s="640"/>
      <c r="C13" s="652" t="str">
        <f>'ITAnnexure-II'!D32</f>
        <v>Others</v>
      </c>
      <c r="D13" s="642"/>
      <c r="E13" s="642"/>
      <c r="F13" s="652"/>
      <c r="G13" s="653"/>
      <c r="H13" s="643" t="s">
        <v>455</v>
      </c>
      <c r="I13" s="659">
        <f>'it data'!J36</f>
        <v>0</v>
      </c>
      <c r="J13" s="656">
        <f>'ITAnnexure-II'!L32</f>
        <v>0</v>
      </c>
      <c r="K13" s="658">
        <f>J13</f>
        <v>0</v>
      </c>
      <c r="L13" s="637"/>
      <c r="M13" s="646"/>
      <c r="N13" s="634"/>
      <c r="O13" s="634"/>
      <c r="P13" s="634"/>
      <c r="Q13" s="634"/>
      <c r="R13" s="634"/>
      <c r="S13" s="634"/>
      <c r="T13" s="634"/>
      <c r="U13" s="634"/>
      <c r="V13" s="634"/>
      <c r="W13" s="634"/>
      <c r="X13" s="634"/>
      <c r="Y13" s="634"/>
      <c r="Z13" s="634"/>
      <c r="AA13" s="634"/>
      <c r="AB13" s="628"/>
      <c r="AD13" s="647"/>
      <c r="AE13" s="648"/>
      <c r="AF13" s="648"/>
      <c r="AG13" s="649"/>
      <c r="AI13" s="657"/>
    </row>
    <row r="14" spans="2:35" ht="17.25" customHeight="1">
      <c r="B14" s="635"/>
      <c r="C14" s="641"/>
      <c r="D14" s="641"/>
      <c r="E14" s="641"/>
      <c r="F14" s="641"/>
      <c r="G14" s="660" t="s">
        <v>574</v>
      </c>
      <c r="H14" s="660"/>
      <c r="I14" s="660"/>
      <c r="J14" s="661"/>
      <c r="K14" s="662"/>
      <c r="L14" s="663" t="s">
        <v>455</v>
      </c>
      <c r="M14" s="664">
        <f>SUM(K4:K13)</f>
        <v>2484</v>
      </c>
      <c r="N14" s="665"/>
      <c r="O14" s="665"/>
      <c r="P14" s="665"/>
      <c r="Q14" s="665"/>
      <c r="R14" s="665"/>
      <c r="S14" s="665"/>
      <c r="T14" s="665"/>
      <c r="U14" s="665"/>
      <c r="V14" s="665"/>
      <c r="W14" s="665"/>
      <c r="X14" s="665"/>
      <c r="Y14" s="665"/>
      <c r="Z14" s="665"/>
      <c r="AA14" s="665"/>
      <c r="AB14" s="666"/>
      <c r="AD14" s="647"/>
      <c r="AE14" s="648"/>
      <c r="AF14" s="648"/>
      <c r="AG14" s="649"/>
      <c r="AI14" s="657"/>
    </row>
    <row r="15" spans="2:33" ht="21" customHeight="1">
      <c r="B15" s="635">
        <v>10</v>
      </c>
      <c r="C15" s="1063" t="s">
        <v>575</v>
      </c>
      <c r="D15" s="1063"/>
      <c r="E15" s="1063"/>
      <c r="F15" s="1063"/>
      <c r="G15" s="1063"/>
      <c r="H15" s="1063"/>
      <c r="I15" s="1063"/>
      <c r="J15" s="667"/>
      <c r="K15" s="668"/>
      <c r="L15" s="669" t="s">
        <v>455</v>
      </c>
      <c r="M15" s="664">
        <f>M14+'form 16 page 1'!N59</f>
        <v>13281</v>
      </c>
      <c r="N15" s="670"/>
      <c r="O15" s="670"/>
      <c r="P15" s="670"/>
      <c r="Q15" s="670"/>
      <c r="R15" s="670"/>
      <c r="S15" s="670"/>
      <c r="T15" s="670"/>
      <c r="U15" s="670"/>
      <c r="V15" s="670"/>
      <c r="W15" s="670"/>
      <c r="X15" s="670"/>
      <c r="Y15" s="670"/>
      <c r="Z15" s="670"/>
      <c r="AA15" s="670"/>
      <c r="AB15" s="671"/>
      <c r="AD15" s="647"/>
      <c r="AE15" s="648"/>
      <c r="AF15" s="648"/>
      <c r="AG15" s="649"/>
    </row>
    <row r="16" spans="2:33" ht="9.75" customHeight="1">
      <c r="B16" s="635"/>
      <c r="C16" s="637"/>
      <c r="D16" s="637"/>
      <c r="E16" s="637"/>
      <c r="F16" s="637"/>
      <c r="G16" s="637"/>
      <c r="H16" s="637"/>
      <c r="I16" s="637"/>
      <c r="J16" s="667"/>
      <c r="K16" s="668"/>
      <c r="L16" s="672"/>
      <c r="M16" s="673"/>
      <c r="N16" s="634"/>
      <c r="O16" s="634"/>
      <c r="P16" s="634"/>
      <c r="Q16" s="634"/>
      <c r="R16" s="634"/>
      <c r="S16" s="634"/>
      <c r="T16" s="634"/>
      <c r="U16" s="634"/>
      <c r="V16" s="634"/>
      <c r="W16" s="634"/>
      <c r="X16" s="634"/>
      <c r="Y16" s="634"/>
      <c r="Z16" s="634"/>
      <c r="AA16" s="634"/>
      <c r="AB16" s="628"/>
      <c r="AD16" s="647"/>
      <c r="AE16" s="648"/>
      <c r="AF16" s="648"/>
      <c r="AG16" s="649"/>
    </row>
    <row r="17" spans="2:33" ht="14.25" customHeight="1">
      <c r="B17" s="674">
        <v>11</v>
      </c>
      <c r="C17" s="1064" t="s">
        <v>576</v>
      </c>
      <c r="D17" s="1064"/>
      <c r="E17" s="1064"/>
      <c r="F17" s="1064"/>
      <c r="G17" s="1064"/>
      <c r="H17" s="1064"/>
      <c r="I17" s="1064"/>
      <c r="J17" s="667"/>
      <c r="K17" s="668"/>
      <c r="L17" s="672" t="s">
        <v>455</v>
      </c>
      <c r="M17" s="676">
        <f>ROUND('form 16 page 1'!N40-'form 16 page 2'!M15,-1)</f>
        <v>496050</v>
      </c>
      <c r="N17" s="677"/>
      <c r="O17" s="677"/>
      <c r="P17" s="677"/>
      <c r="Q17" s="677"/>
      <c r="R17" s="677"/>
      <c r="S17" s="677"/>
      <c r="T17" s="677"/>
      <c r="U17" s="677"/>
      <c r="V17" s="677"/>
      <c r="W17" s="677"/>
      <c r="X17" s="677"/>
      <c r="Y17" s="677"/>
      <c r="Z17" s="677"/>
      <c r="AA17" s="677"/>
      <c r="AB17" s="678"/>
      <c r="AD17" s="647"/>
      <c r="AE17" s="648"/>
      <c r="AF17" s="648"/>
      <c r="AG17" s="649"/>
    </row>
    <row r="18" spans="2:33" ht="14.25" customHeight="1">
      <c r="B18" s="674"/>
      <c r="C18" s="679" t="str">
        <f>IF('it pro'!L182=0,"",CONCATENATE(IF('it data'!H5&lt;2013,"","Tax Rebate U/s 87 A [Rs.2000/-up to taxble income Rs.5,00,000/-]"),"      . I.e,. Rs ",'ITAnnexure-II'!R51,'it pro'!B179," tax rebate Rs. ",'ITAnnexure-II'!R53,")"))</f>
        <v>Tax Rebate U/s 87 A [Rs.2000/-up to taxble income Rs.5,00,000/-]      . I.e,. Rs 24605— tax rebate Rs. 2000)</v>
      </c>
      <c r="D18" s="675"/>
      <c r="E18" s="675"/>
      <c r="F18" s="675"/>
      <c r="G18" s="675"/>
      <c r="H18" s="675"/>
      <c r="I18" s="675"/>
      <c r="J18" s="667"/>
      <c r="K18" s="668"/>
      <c r="L18" s="672"/>
      <c r="M18" s="676"/>
      <c r="N18" s="677"/>
      <c r="O18" s="677"/>
      <c r="P18" s="677"/>
      <c r="Q18" s="677"/>
      <c r="R18" s="677"/>
      <c r="S18" s="677"/>
      <c r="T18" s="677"/>
      <c r="U18" s="677"/>
      <c r="V18" s="677"/>
      <c r="W18" s="677"/>
      <c r="X18" s="677"/>
      <c r="Y18" s="677"/>
      <c r="Z18" s="677"/>
      <c r="AA18" s="677"/>
      <c r="AB18" s="678"/>
      <c r="AD18" s="647"/>
      <c r="AE18" s="648"/>
      <c r="AF18" s="648"/>
      <c r="AG18" s="649"/>
    </row>
    <row r="19" spans="2:36" ht="18.75" customHeight="1">
      <c r="B19" s="674">
        <v>12</v>
      </c>
      <c r="C19" s="1064" t="s">
        <v>577</v>
      </c>
      <c r="D19" s="1064"/>
      <c r="E19" s="1064"/>
      <c r="F19" s="1064"/>
      <c r="G19" s="1064"/>
      <c r="H19" s="1064"/>
      <c r="I19" s="1064"/>
      <c r="J19" s="667"/>
      <c r="K19" s="668"/>
      <c r="L19" s="680" t="s">
        <v>455</v>
      </c>
      <c r="M19" s="681">
        <f>'ITAnnexure-II'!M56</f>
        <v>22605</v>
      </c>
      <c r="N19" s="634"/>
      <c r="O19" s="634"/>
      <c r="Q19" s="634"/>
      <c r="R19" s="634"/>
      <c r="S19" s="634"/>
      <c r="T19" s="634"/>
      <c r="U19" s="634"/>
      <c r="V19" s="634"/>
      <c r="W19" s="634"/>
      <c r="X19" s="634"/>
      <c r="Y19" s="634"/>
      <c r="Z19" s="634"/>
      <c r="AA19" s="634"/>
      <c r="AB19" s="628"/>
      <c r="AD19" s="647"/>
      <c r="AE19" s="648"/>
      <c r="AF19" s="648"/>
      <c r="AG19" s="649"/>
      <c r="AJ19" s="682"/>
    </row>
    <row r="20" spans="2:36" ht="18.75" customHeight="1">
      <c r="B20" s="683">
        <v>13</v>
      </c>
      <c r="C20" s="684" t="str">
        <f>""&amp;('it pro'!G184)&amp;"(On Tax at  S.No.12 )"</f>
        <v>Education Cess @ 1%(On Tax at  S.No.12 )</v>
      </c>
      <c r="D20" s="675"/>
      <c r="E20" s="675"/>
      <c r="F20" s="675"/>
      <c r="G20" s="675"/>
      <c r="H20" s="675"/>
      <c r="I20" s="675"/>
      <c r="J20" s="667"/>
      <c r="K20" s="668"/>
      <c r="L20" s="680"/>
      <c r="M20" s="681">
        <f>'ITAnnexure-II'!M57</f>
        <v>226</v>
      </c>
      <c r="N20" s="634"/>
      <c r="O20" s="634"/>
      <c r="P20" s="634"/>
      <c r="Q20" s="634"/>
      <c r="R20" s="634"/>
      <c r="S20" s="634"/>
      <c r="T20" s="634"/>
      <c r="U20" s="634"/>
      <c r="V20" s="634"/>
      <c r="W20" s="634"/>
      <c r="X20" s="634"/>
      <c r="Y20" s="634"/>
      <c r="Z20" s="634"/>
      <c r="AA20" s="634"/>
      <c r="AB20" s="628"/>
      <c r="AD20" s="647"/>
      <c r="AE20" s="648"/>
      <c r="AF20" s="648"/>
      <c r="AG20" s="649"/>
      <c r="AJ20" s="682"/>
    </row>
    <row r="21" spans="2:36" ht="15.75" customHeight="1">
      <c r="B21" s="683">
        <v>14</v>
      </c>
      <c r="C21" s="684" t="str">
        <f>""&amp;('it pro'!G185)&amp;"(On Tax at  S.No.12 )"</f>
        <v>Secondary &amp; Higher Education Cess @ 2%(On Tax at  S.No.12 )</v>
      </c>
      <c r="D21" s="685"/>
      <c r="E21" s="685"/>
      <c r="F21" s="685"/>
      <c r="G21" s="685"/>
      <c r="H21" s="685"/>
      <c r="I21" s="686"/>
      <c r="J21" s="667"/>
      <c r="K21" s="668"/>
      <c r="L21" s="680" t="s">
        <v>455</v>
      </c>
      <c r="M21" s="681">
        <f>'ITAnnexure-II'!M58</f>
        <v>452</v>
      </c>
      <c r="N21" s="687"/>
      <c r="O21" s="687"/>
      <c r="P21" s="687"/>
      <c r="Q21" s="687"/>
      <c r="R21" s="687"/>
      <c r="S21" s="687"/>
      <c r="T21" s="687"/>
      <c r="U21" s="687"/>
      <c r="V21" s="687"/>
      <c r="W21" s="687"/>
      <c r="X21" s="687"/>
      <c r="Y21" s="687"/>
      <c r="Z21" s="687"/>
      <c r="AA21" s="687"/>
      <c r="AB21" s="688"/>
      <c r="AD21" s="647"/>
      <c r="AE21" s="648"/>
      <c r="AF21" s="648"/>
      <c r="AG21" s="649"/>
      <c r="AJ21" s="682"/>
    </row>
    <row r="22" spans="2:164" ht="18.75" customHeight="1">
      <c r="B22" s="683">
        <v>15</v>
      </c>
      <c r="C22" s="1064" t="s">
        <v>578</v>
      </c>
      <c r="D22" s="1064"/>
      <c r="E22" s="1064"/>
      <c r="F22" s="1064"/>
      <c r="G22" s="1064"/>
      <c r="H22" s="1064"/>
      <c r="I22" s="1064"/>
      <c r="J22" s="667"/>
      <c r="K22" s="668"/>
      <c r="L22" s="680" t="s">
        <v>455</v>
      </c>
      <c r="M22" s="689">
        <f>'ITAnnexure-II'!M59</f>
        <v>23283</v>
      </c>
      <c r="N22" s="670"/>
      <c r="O22" s="670"/>
      <c r="P22" s="670"/>
      <c r="Q22" s="670"/>
      <c r="R22" s="670"/>
      <c r="S22" s="670"/>
      <c r="T22" s="670"/>
      <c r="U22" s="670"/>
      <c r="V22" s="670"/>
      <c r="W22" s="670"/>
      <c r="X22" s="670"/>
      <c r="Y22" s="670"/>
      <c r="Z22" s="670"/>
      <c r="AA22" s="670"/>
      <c r="AB22" s="690"/>
      <c r="AE22" s="648"/>
      <c r="AF22" s="648"/>
      <c r="AG22" s="649"/>
      <c r="AJ22" s="682"/>
      <c r="FH22" s="691">
        <f>M15</f>
        <v>13281</v>
      </c>
    </row>
    <row r="23" spans="2:164" ht="18" customHeight="1">
      <c r="B23" s="683">
        <v>16</v>
      </c>
      <c r="C23" s="1065" t="s">
        <v>579</v>
      </c>
      <c r="D23" s="1065"/>
      <c r="E23" s="1065"/>
      <c r="F23" s="1065"/>
      <c r="G23" s="1065"/>
      <c r="H23" s="1065"/>
      <c r="I23" s="1065"/>
      <c r="J23" s="667"/>
      <c r="K23" s="668"/>
      <c r="L23" s="680" t="s">
        <v>455</v>
      </c>
      <c r="M23" s="681">
        <v>0</v>
      </c>
      <c r="N23" s="634"/>
      <c r="O23" s="634"/>
      <c r="P23" s="634"/>
      <c r="Q23" s="634"/>
      <c r="R23" s="634"/>
      <c r="S23" s="634"/>
      <c r="T23" s="634"/>
      <c r="U23" s="634"/>
      <c r="V23" s="634"/>
      <c r="W23" s="634"/>
      <c r="X23" s="634"/>
      <c r="Y23" s="634"/>
      <c r="Z23" s="634"/>
      <c r="AA23" s="634"/>
      <c r="AB23" s="628"/>
      <c r="AE23" s="648"/>
      <c r="AF23" s="648"/>
      <c r="AJ23" s="682"/>
      <c r="FH23" s="691" t="e">
        <f>#REF!-FH22</f>
        <v>#REF!</v>
      </c>
    </row>
    <row r="24" spans="2:36" ht="18.75" customHeight="1">
      <c r="B24" s="683">
        <v>17</v>
      </c>
      <c r="C24" s="1064" t="s">
        <v>580</v>
      </c>
      <c r="D24" s="1064"/>
      <c r="E24" s="1064"/>
      <c r="F24" s="1064"/>
      <c r="G24" s="1064"/>
      <c r="H24" s="1064"/>
      <c r="I24" s="1064"/>
      <c r="J24" s="667"/>
      <c r="K24" s="668"/>
      <c r="L24" s="680" t="s">
        <v>455</v>
      </c>
      <c r="M24" s="689">
        <f>M22</f>
        <v>23283</v>
      </c>
      <c r="N24" s="670"/>
      <c r="O24" s="670"/>
      <c r="P24" s="670"/>
      <c r="Q24" s="670"/>
      <c r="R24" s="670"/>
      <c r="S24" s="670"/>
      <c r="T24" s="670"/>
      <c r="U24" s="670"/>
      <c r="V24" s="670"/>
      <c r="W24" s="670"/>
      <c r="X24" s="670"/>
      <c r="Y24" s="670"/>
      <c r="Z24" s="670"/>
      <c r="AA24" s="670"/>
      <c r="AB24" s="690"/>
      <c r="AJ24" s="682"/>
    </row>
    <row r="25" spans="2:36" ht="15.75" customHeight="1">
      <c r="B25" s="683">
        <v>18</v>
      </c>
      <c r="C25" s="1063" t="s">
        <v>581</v>
      </c>
      <c r="D25" s="1063"/>
      <c r="E25" s="1063"/>
      <c r="F25" s="1063"/>
      <c r="G25" s="1063"/>
      <c r="H25" s="1063"/>
      <c r="I25" s="1063"/>
      <c r="J25" s="667"/>
      <c r="K25" s="668"/>
      <c r="L25" s="680" t="s">
        <v>455</v>
      </c>
      <c r="M25" s="681">
        <v>0</v>
      </c>
      <c r="N25" s="634"/>
      <c r="O25" s="634"/>
      <c r="P25" s="634"/>
      <c r="Q25" s="634"/>
      <c r="R25" s="634"/>
      <c r="S25" s="634"/>
      <c r="T25" s="634"/>
      <c r="U25" s="634"/>
      <c r="V25" s="634"/>
      <c r="W25" s="634"/>
      <c r="X25" s="634"/>
      <c r="Y25" s="634"/>
      <c r="Z25" s="634"/>
      <c r="AA25" s="634"/>
      <c r="AB25" s="628"/>
      <c r="AJ25" s="682"/>
    </row>
    <row r="26" spans="2:36" ht="14.25" customHeight="1">
      <c r="B26" s="693"/>
      <c r="C26" s="692"/>
      <c r="D26" s="1066" t="s">
        <v>582</v>
      </c>
      <c r="E26" s="1066"/>
      <c r="F26" s="1066"/>
      <c r="G26" s="1066"/>
      <c r="H26" s="1066"/>
      <c r="I26" s="1066"/>
      <c r="J26" s="667"/>
      <c r="K26" s="668"/>
      <c r="L26" s="680"/>
      <c r="M26" s="681"/>
      <c r="N26" s="634"/>
      <c r="O26" s="634"/>
      <c r="P26" s="634"/>
      <c r="Q26" s="634"/>
      <c r="R26" s="634"/>
      <c r="S26" s="634"/>
      <c r="T26" s="634"/>
      <c r="U26" s="634"/>
      <c r="V26" s="634"/>
      <c r="W26" s="634"/>
      <c r="X26" s="634"/>
      <c r="Y26" s="634"/>
      <c r="Z26" s="634"/>
      <c r="AA26" s="634"/>
      <c r="AB26" s="628"/>
      <c r="AJ26" s="682"/>
    </row>
    <row r="27" spans="2:36" ht="14.25" customHeight="1">
      <c r="B27" s="693"/>
      <c r="C27" s="692"/>
      <c r="D27" s="1065" t="s">
        <v>583</v>
      </c>
      <c r="E27" s="1065"/>
      <c r="F27" s="1065"/>
      <c r="G27" s="1065"/>
      <c r="H27" s="1065"/>
      <c r="I27" s="1065"/>
      <c r="J27" s="667"/>
      <c r="K27" s="668"/>
      <c r="L27" s="680" t="s">
        <v>455</v>
      </c>
      <c r="M27" s="681">
        <f>'ITAnnexure-I'!U24</f>
        <v>0</v>
      </c>
      <c r="N27" s="634"/>
      <c r="O27" s="634"/>
      <c r="P27" s="634"/>
      <c r="Q27" s="634"/>
      <c r="R27" s="634"/>
      <c r="S27" s="634"/>
      <c r="T27" s="634"/>
      <c r="U27" s="634"/>
      <c r="V27" s="634"/>
      <c r="W27" s="634"/>
      <c r="X27" s="634"/>
      <c r="Y27" s="634"/>
      <c r="Z27" s="634"/>
      <c r="AA27" s="634"/>
      <c r="AB27" s="628"/>
      <c r="AJ27" s="682"/>
    </row>
    <row r="28" spans="2:36" ht="21" customHeight="1">
      <c r="B28" s="694">
        <v>19</v>
      </c>
      <c r="C28" s="1067" t="s">
        <v>584</v>
      </c>
      <c r="D28" s="1067"/>
      <c r="E28" s="1067"/>
      <c r="F28" s="1067"/>
      <c r="G28" s="1067"/>
      <c r="H28" s="454"/>
      <c r="I28" s="695"/>
      <c r="J28" s="696"/>
      <c r="K28" s="697"/>
      <c r="L28" s="477" t="s">
        <v>455</v>
      </c>
      <c r="M28" s="698">
        <f>IF(SUM((M24-M25),-M27)=0,"No Tax",SUM((M24-M25),-M27))</f>
        <v>23283</v>
      </c>
      <c r="N28" s="670"/>
      <c r="O28" s="670"/>
      <c r="P28" s="670"/>
      <c r="Q28" s="670"/>
      <c r="R28" s="670"/>
      <c r="S28" s="670"/>
      <c r="T28" s="670"/>
      <c r="U28" s="670"/>
      <c r="V28" s="670"/>
      <c r="W28" s="670"/>
      <c r="X28" s="670"/>
      <c r="Y28" s="670"/>
      <c r="Z28" s="670"/>
      <c r="AA28" s="670"/>
      <c r="AB28" s="671"/>
      <c r="AJ28" s="682"/>
    </row>
    <row r="29" spans="2:36" ht="6" customHeight="1">
      <c r="B29" s="699"/>
      <c r="C29" s="700"/>
      <c r="D29" s="700"/>
      <c r="E29" s="700"/>
      <c r="F29" s="700"/>
      <c r="G29" s="700"/>
      <c r="H29" s="700"/>
      <c r="I29" s="700"/>
      <c r="J29" s="701"/>
      <c r="K29" s="702"/>
      <c r="L29" s="700"/>
      <c r="M29" s="703"/>
      <c r="N29" s="634"/>
      <c r="O29" s="634"/>
      <c r="P29" s="634"/>
      <c r="Q29" s="634"/>
      <c r="R29" s="634"/>
      <c r="S29" s="634"/>
      <c r="T29" s="634"/>
      <c r="U29" s="634"/>
      <c r="V29" s="634"/>
      <c r="W29" s="634"/>
      <c r="X29" s="634"/>
      <c r="Y29" s="634"/>
      <c r="Z29" s="634"/>
      <c r="AA29" s="634"/>
      <c r="AB29" s="628"/>
      <c r="AJ29" s="682"/>
    </row>
    <row r="30" spans="2:36" ht="6.75" customHeight="1">
      <c r="B30" s="704"/>
      <c r="C30" s="705"/>
      <c r="D30" s="705"/>
      <c r="E30" s="705"/>
      <c r="F30" s="705"/>
      <c r="G30" s="705"/>
      <c r="H30" s="705"/>
      <c r="I30" s="705"/>
      <c r="J30" s="705"/>
      <c r="K30" s="705"/>
      <c r="L30" s="705"/>
      <c r="M30" s="706"/>
      <c r="N30" s="634"/>
      <c r="O30" s="634"/>
      <c r="P30" s="634"/>
      <c r="Q30" s="634"/>
      <c r="R30" s="634"/>
      <c r="S30" s="634"/>
      <c r="T30" s="634"/>
      <c r="U30" s="634"/>
      <c r="V30" s="634"/>
      <c r="W30" s="634"/>
      <c r="X30" s="634"/>
      <c r="Y30" s="634"/>
      <c r="Z30" s="634"/>
      <c r="AA30" s="634"/>
      <c r="AB30" s="628"/>
      <c r="AC30" s="628"/>
      <c r="AJ30" s="682"/>
    </row>
    <row r="31" spans="2:37" ht="14.25" customHeight="1">
      <c r="B31" s="1068" t="s">
        <v>585</v>
      </c>
      <c r="C31" s="1068"/>
      <c r="D31" s="1068"/>
      <c r="E31" s="1068"/>
      <c r="F31" s="1068"/>
      <c r="G31" s="1068"/>
      <c r="H31" s="1068"/>
      <c r="I31" s="1068"/>
      <c r="J31" s="1068"/>
      <c r="K31" s="1068"/>
      <c r="L31" s="1068"/>
      <c r="M31" s="1068"/>
      <c r="N31" s="707"/>
      <c r="O31" s="707"/>
      <c r="P31" s="707"/>
      <c r="Q31" s="707"/>
      <c r="R31" s="707"/>
      <c r="S31" s="707"/>
      <c r="T31" s="707"/>
      <c r="U31" s="707"/>
      <c r="V31" s="707"/>
      <c r="W31" s="707"/>
      <c r="X31" s="707"/>
      <c r="Y31" s="707"/>
      <c r="Z31" s="707"/>
      <c r="AA31" s="707"/>
      <c r="AB31" s="708"/>
      <c r="AC31" s="709"/>
      <c r="AD31" s="709"/>
      <c r="AE31" s="709"/>
      <c r="AF31" s="709"/>
      <c r="AG31" s="709"/>
      <c r="AH31" s="709"/>
      <c r="AJ31" s="682"/>
      <c r="AK31" s="709"/>
    </row>
    <row r="32" spans="2:37" ht="12" customHeight="1">
      <c r="B32" s="1069" t="s">
        <v>586</v>
      </c>
      <c r="C32" s="1069"/>
      <c r="D32" s="1069"/>
      <c r="E32" s="1069"/>
      <c r="F32" s="1069"/>
      <c r="G32" s="1069"/>
      <c r="H32" s="1069"/>
      <c r="I32" s="1069"/>
      <c r="J32" s="1069"/>
      <c r="K32" s="1069"/>
      <c r="L32" s="1069"/>
      <c r="M32" s="1069"/>
      <c r="N32" s="710"/>
      <c r="O32" s="710"/>
      <c r="P32" s="710"/>
      <c r="Q32" s="710"/>
      <c r="R32" s="710"/>
      <c r="S32" s="710"/>
      <c r="T32" s="710"/>
      <c r="U32" s="710"/>
      <c r="V32" s="710"/>
      <c r="W32" s="710"/>
      <c r="X32" s="710"/>
      <c r="Y32" s="710"/>
      <c r="Z32" s="710"/>
      <c r="AA32" s="710"/>
      <c r="AB32" s="711"/>
      <c r="AC32" s="712"/>
      <c r="AD32" s="712"/>
      <c r="AE32" s="712"/>
      <c r="AF32" s="712"/>
      <c r="AG32" s="712"/>
      <c r="AH32" s="712"/>
      <c r="AJ32" s="682"/>
      <c r="AK32" s="712"/>
    </row>
    <row r="33" spans="2:36" ht="0.75" customHeight="1">
      <c r="B33" s="704"/>
      <c r="C33" s="705"/>
      <c r="D33" s="705"/>
      <c r="E33" s="705"/>
      <c r="F33" s="705"/>
      <c r="G33" s="705"/>
      <c r="H33" s="705"/>
      <c r="I33" s="705"/>
      <c r="J33" s="705"/>
      <c r="K33" s="705"/>
      <c r="L33" s="705"/>
      <c r="M33" s="706"/>
      <c r="N33" s="634"/>
      <c r="O33" s="634"/>
      <c r="P33" s="634"/>
      <c r="Q33" s="634"/>
      <c r="R33" s="634"/>
      <c r="S33" s="634"/>
      <c r="T33" s="634"/>
      <c r="U33" s="634"/>
      <c r="V33" s="634"/>
      <c r="W33" s="634"/>
      <c r="X33" s="634"/>
      <c r="Y33" s="634"/>
      <c r="Z33" s="634"/>
      <c r="AA33" s="634"/>
      <c r="AB33" s="628"/>
      <c r="AC33" s="628"/>
      <c r="AJ33" s="682"/>
    </row>
    <row r="34" spans="2:36" ht="15.75" customHeight="1">
      <c r="B34" s="713" t="s">
        <v>587</v>
      </c>
      <c r="C34" s="1070" t="s">
        <v>588</v>
      </c>
      <c r="D34" s="1070"/>
      <c r="E34" s="715" t="s">
        <v>589</v>
      </c>
      <c r="F34" s="714" t="s">
        <v>590</v>
      </c>
      <c r="G34" s="714" t="s">
        <v>591</v>
      </c>
      <c r="H34" s="1071" t="s">
        <v>592</v>
      </c>
      <c r="I34" s="1071"/>
      <c r="J34" s="716" t="s">
        <v>593</v>
      </c>
      <c r="K34" s="716" t="s">
        <v>594</v>
      </c>
      <c r="L34" s="1072" t="s">
        <v>595</v>
      </c>
      <c r="M34" s="1072"/>
      <c r="N34" s="717"/>
      <c r="O34" s="717"/>
      <c r="P34" s="717"/>
      <c r="Q34" s="717"/>
      <c r="R34" s="717"/>
      <c r="S34" s="717"/>
      <c r="T34" s="717"/>
      <c r="U34" s="717"/>
      <c r="V34" s="717"/>
      <c r="W34" s="717"/>
      <c r="X34" s="717"/>
      <c r="Y34" s="717"/>
      <c r="Z34" s="717"/>
      <c r="AA34" s="717"/>
      <c r="AB34" s="717"/>
      <c r="AJ34" s="682"/>
    </row>
    <row r="35" spans="2:36" ht="15.75" customHeight="1">
      <c r="B35" s="718" t="s">
        <v>596</v>
      </c>
      <c r="C35" s="1073" t="s">
        <v>455</v>
      </c>
      <c r="D35" s="1073"/>
      <c r="E35" s="720" t="s">
        <v>455</v>
      </c>
      <c r="F35" s="719" t="s">
        <v>597</v>
      </c>
      <c r="G35" s="719" t="s">
        <v>598</v>
      </c>
      <c r="H35" s="1074" t="s">
        <v>599</v>
      </c>
      <c r="I35" s="1074"/>
      <c r="J35" s="721" t="s">
        <v>600</v>
      </c>
      <c r="K35" s="721" t="s">
        <v>601</v>
      </c>
      <c r="L35" s="1075" t="s">
        <v>602</v>
      </c>
      <c r="M35" s="1075"/>
      <c r="N35" s="717"/>
      <c r="O35" s="717"/>
      <c r="P35" s="717"/>
      <c r="Q35" s="717"/>
      <c r="R35" s="717"/>
      <c r="S35" s="717"/>
      <c r="T35" s="717"/>
      <c r="U35" s="717"/>
      <c r="V35" s="717"/>
      <c r="W35" s="717"/>
      <c r="X35" s="717"/>
      <c r="Y35" s="717"/>
      <c r="Z35" s="717"/>
      <c r="AA35" s="717"/>
      <c r="AB35" s="717"/>
      <c r="AD35" s="647"/>
      <c r="AE35" s="648"/>
      <c r="AF35" s="648"/>
      <c r="AG35" s="649"/>
      <c r="AJ35" s="682"/>
    </row>
    <row r="36" spans="2:36" ht="15.75" customHeight="1">
      <c r="B36" s="722"/>
      <c r="C36" s="1076"/>
      <c r="D36" s="1076"/>
      <c r="E36" s="723"/>
      <c r="F36" s="723" t="s">
        <v>455</v>
      </c>
      <c r="G36" s="723" t="s">
        <v>455</v>
      </c>
      <c r="H36" s="1077"/>
      <c r="I36" s="1077"/>
      <c r="J36" s="724" t="s">
        <v>603</v>
      </c>
      <c r="K36" s="724" t="s">
        <v>598</v>
      </c>
      <c r="L36" s="1078" t="s">
        <v>604</v>
      </c>
      <c r="M36" s="1078"/>
      <c r="N36" s="717"/>
      <c r="O36" s="717"/>
      <c r="P36" s="717"/>
      <c r="Q36" s="717"/>
      <c r="R36" s="717"/>
      <c r="S36" s="717"/>
      <c r="T36" s="717"/>
      <c r="U36" s="717"/>
      <c r="V36" s="717"/>
      <c r="W36" s="717"/>
      <c r="X36" s="717"/>
      <c r="Y36" s="717"/>
      <c r="Z36" s="717"/>
      <c r="AA36" s="717"/>
      <c r="AB36" s="717"/>
      <c r="AD36" s="647"/>
      <c r="AE36" s="648"/>
      <c r="AF36" s="648"/>
      <c r="AG36" s="649"/>
      <c r="AJ36" s="657"/>
    </row>
    <row r="37" spans="2:36" ht="12.75" customHeight="1">
      <c r="B37" s="725">
        <v>1</v>
      </c>
      <c r="C37" s="1079"/>
      <c r="D37" s="1079"/>
      <c r="E37" s="727"/>
      <c r="F37" s="727"/>
      <c r="G37" s="727"/>
      <c r="H37" s="1079"/>
      <c r="I37" s="1079"/>
      <c r="J37" s="728"/>
      <c r="K37" s="728"/>
      <c r="L37" s="1080"/>
      <c r="M37" s="1080"/>
      <c r="N37" s="717"/>
      <c r="O37" s="717"/>
      <c r="P37" s="717"/>
      <c r="Q37" s="717"/>
      <c r="R37" s="717"/>
      <c r="S37" s="717"/>
      <c r="T37" s="717"/>
      <c r="U37" s="717"/>
      <c r="V37" s="717"/>
      <c r="W37" s="717"/>
      <c r="X37" s="717"/>
      <c r="Y37" s="717"/>
      <c r="Z37" s="717"/>
      <c r="AA37" s="717"/>
      <c r="AB37" s="717"/>
      <c r="AD37" s="647"/>
      <c r="AE37" s="648"/>
      <c r="AF37" s="648"/>
      <c r="AG37" s="649"/>
      <c r="AJ37" s="657"/>
    </row>
    <row r="38" spans="2:36" ht="12.75" customHeight="1">
      <c r="B38" s="725">
        <v>2</v>
      </c>
      <c r="C38" s="1079"/>
      <c r="D38" s="1079"/>
      <c r="E38" s="727"/>
      <c r="F38" s="727"/>
      <c r="G38" s="727"/>
      <c r="H38" s="1079"/>
      <c r="I38" s="1079"/>
      <c r="J38" s="728"/>
      <c r="K38" s="728"/>
      <c r="L38" s="1080"/>
      <c r="M38" s="1080"/>
      <c r="N38" s="717"/>
      <c r="O38" s="717"/>
      <c r="P38" s="717"/>
      <c r="Q38" s="717"/>
      <c r="R38" s="717"/>
      <c r="S38" s="717"/>
      <c r="T38" s="717"/>
      <c r="U38" s="717"/>
      <c r="V38" s="717"/>
      <c r="W38" s="717"/>
      <c r="X38" s="717"/>
      <c r="Y38" s="717"/>
      <c r="Z38" s="717"/>
      <c r="AA38" s="717"/>
      <c r="AB38" s="717"/>
      <c r="AD38" s="647"/>
      <c r="AE38" s="648"/>
      <c r="AF38" s="648"/>
      <c r="AG38" s="649"/>
      <c r="AJ38" s="657"/>
    </row>
    <row r="39" spans="2:36" ht="12.75" customHeight="1">
      <c r="B39" s="725">
        <v>3</v>
      </c>
      <c r="C39" s="1079"/>
      <c r="D39" s="1079"/>
      <c r="E39" s="727"/>
      <c r="F39" s="727"/>
      <c r="G39" s="727"/>
      <c r="H39" s="1079"/>
      <c r="I39" s="1079"/>
      <c r="J39" s="728"/>
      <c r="K39" s="728"/>
      <c r="L39" s="1080"/>
      <c r="M39" s="1080"/>
      <c r="N39" s="717"/>
      <c r="O39" s="717"/>
      <c r="P39" s="717"/>
      <c r="Q39" s="717"/>
      <c r="R39" s="717"/>
      <c r="S39" s="717"/>
      <c r="T39" s="717"/>
      <c r="U39" s="717"/>
      <c r="V39" s="717"/>
      <c r="W39" s="717"/>
      <c r="X39" s="717"/>
      <c r="Y39" s="717"/>
      <c r="Z39" s="717"/>
      <c r="AA39" s="717"/>
      <c r="AB39" s="717"/>
      <c r="AD39" s="647"/>
      <c r="AE39" s="648"/>
      <c r="AF39" s="648"/>
      <c r="AG39" s="649"/>
      <c r="AJ39" s="657"/>
    </row>
    <row r="40" spans="2:36" ht="12.75" customHeight="1">
      <c r="B40" s="725">
        <v>4</v>
      </c>
      <c r="C40" s="1079"/>
      <c r="D40" s="1079"/>
      <c r="E40" s="727"/>
      <c r="F40" s="727"/>
      <c r="G40" s="727"/>
      <c r="H40" s="1079"/>
      <c r="I40" s="1079"/>
      <c r="J40" s="728"/>
      <c r="K40" s="728"/>
      <c r="L40" s="1080"/>
      <c r="M40" s="1080"/>
      <c r="N40" s="717"/>
      <c r="O40" s="717"/>
      <c r="P40" s="717"/>
      <c r="Q40" s="717"/>
      <c r="R40" s="717"/>
      <c r="S40" s="717"/>
      <c r="T40" s="717"/>
      <c r="U40" s="717"/>
      <c r="V40" s="717"/>
      <c r="W40" s="717"/>
      <c r="X40" s="717"/>
      <c r="Y40" s="717"/>
      <c r="Z40" s="717"/>
      <c r="AA40" s="717"/>
      <c r="AB40" s="717"/>
      <c r="AD40" s="647"/>
      <c r="AE40" s="648"/>
      <c r="AF40" s="648"/>
      <c r="AG40" s="649"/>
      <c r="AJ40" s="657"/>
    </row>
    <row r="41" spans="2:36" ht="12.75" customHeight="1">
      <c r="B41" s="725">
        <v>5</v>
      </c>
      <c r="C41" s="1079"/>
      <c r="D41" s="1079"/>
      <c r="E41" s="727"/>
      <c r="F41" s="727"/>
      <c r="G41" s="727"/>
      <c r="H41" s="1079"/>
      <c r="I41" s="1079"/>
      <c r="J41" s="728"/>
      <c r="K41" s="728"/>
      <c r="L41" s="1080"/>
      <c r="M41" s="1080"/>
      <c r="N41" s="717"/>
      <c r="O41" s="717"/>
      <c r="P41" s="717"/>
      <c r="Q41" s="717"/>
      <c r="R41" s="717"/>
      <c r="S41" s="717"/>
      <c r="T41" s="717"/>
      <c r="U41" s="717"/>
      <c r="V41" s="717"/>
      <c r="W41" s="717"/>
      <c r="X41" s="717"/>
      <c r="Y41" s="717"/>
      <c r="Z41" s="717"/>
      <c r="AA41" s="717"/>
      <c r="AB41" s="717"/>
      <c r="AD41" s="647"/>
      <c r="AE41" s="648"/>
      <c r="AF41" s="648"/>
      <c r="AG41" s="649"/>
      <c r="AJ41" s="657"/>
    </row>
    <row r="42" spans="2:36" ht="12.75" customHeight="1">
      <c r="B42" s="725">
        <v>6</v>
      </c>
      <c r="C42" s="1081"/>
      <c r="D42" s="1081"/>
      <c r="E42" s="729"/>
      <c r="F42" s="730"/>
      <c r="G42" s="730"/>
      <c r="H42" s="1079"/>
      <c r="I42" s="1079"/>
      <c r="J42" s="731"/>
      <c r="K42" s="731"/>
      <c r="L42" s="1080"/>
      <c r="M42" s="1080"/>
      <c r="N42" s="710"/>
      <c r="O42" s="710"/>
      <c r="P42" s="710"/>
      <c r="Q42" s="710"/>
      <c r="R42" s="710"/>
      <c r="S42" s="710"/>
      <c r="T42" s="710"/>
      <c r="U42" s="710"/>
      <c r="V42" s="710"/>
      <c r="W42" s="710"/>
      <c r="X42" s="710"/>
      <c r="Y42" s="710"/>
      <c r="Z42" s="710"/>
      <c r="AA42" s="710"/>
      <c r="AB42" s="711"/>
      <c r="AD42" s="647"/>
      <c r="AE42" s="648"/>
      <c r="AF42" s="648"/>
      <c r="AG42" s="649"/>
      <c r="AJ42" s="657"/>
    </row>
    <row r="43" spans="2:36" ht="12.75" customHeight="1">
      <c r="B43" s="725">
        <v>7</v>
      </c>
      <c r="C43" s="1079"/>
      <c r="D43" s="1079"/>
      <c r="E43" s="729"/>
      <c r="F43" s="730"/>
      <c r="G43" s="730"/>
      <c r="H43" s="1079"/>
      <c r="I43" s="1079"/>
      <c r="J43" s="731"/>
      <c r="K43" s="731"/>
      <c r="L43" s="1080"/>
      <c r="M43" s="1080"/>
      <c r="N43" s="710"/>
      <c r="O43" s="710"/>
      <c r="P43" s="710"/>
      <c r="Q43" s="710"/>
      <c r="R43" s="710"/>
      <c r="S43" s="710"/>
      <c r="T43" s="710"/>
      <c r="U43" s="710"/>
      <c r="V43" s="710"/>
      <c r="W43" s="710"/>
      <c r="X43" s="710"/>
      <c r="Y43" s="710"/>
      <c r="Z43" s="710"/>
      <c r="AA43" s="710"/>
      <c r="AB43" s="711"/>
      <c r="AD43" s="647"/>
      <c r="AE43" s="648"/>
      <c r="AF43" s="648"/>
      <c r="AG43" s="649"/>
      <c r="AJ43" s="657"/>
    </row>
    <row r="44" spans="2:36" ht="12.75" customHeight="1">
      <c r="B44" s="725">
        <v>8</v>
      </c>
      <c r="C44" s="1081"/>
      <c r="D44" s="1081"/>
      <c r="E44" s="729"/>
      <c r="F44" s="726"/>
      <c r="G44" s="726"/>
      <c r="H44" s="1079"/>
      <c r="I44" s="1079"/>
      <c r="J44" s="731"/>
      <c r="K44" s="731"/>
      <c r="L44" s="1080"/>
      <c r="M44" s="1080"/>
      <c r="N44" s="710"/>
      <c r="O44" s="710"/>
      <c r="P44" s="710"/>
      <c r="Q44" s="710"/>
      <c r="R44" s="710"/>
      <c r="S44" s="710"/>
      <c r="T44" s="710"/>
      <c r="U44" s="710"/>
      <c r="V44" s="710"/>
      <c r="W44" s="710"/>
      <c r="X44" s="710"/>
      <c r="Y44" s="710"/>
      <c r="Z44" s="710"/>
      <c r="AA44" s="710"/>
      <c r="AB44" s="711"/>
      <c r="AD44" s="647"/>
      <c r="AE44" s="648"/>
      <c r="AF44" s="648"/>
      <c r="AG44" s="649"/>
      <c r="AJ44" s="657"/>
    </row>
    <row r="45" spans="2:36" ht="12.75" customHeight="1">
      <c r="B45" s="725">
        <v>9</v>
      </c>
      <c r="C45" s="1079"/>
      <c r="D45" s="1079"/>
      <c r="E45" s="729"/>
      <c r="F45" s="726"/>
      <c r="G45" s="726"/>
      <c r="H45" s="1079"/>
      <c r="I45" s="1079"/>
      <c r="J45" s="731"/>
      <c r="K45" s="731"/>
      <c r="L45" s="1080"/>
      <c r="M45" s="1080"/>
      <c r="N45" s="710"/>
      <c r="O45" s="710"/>
      <c r="P45" s="710"/>
      <c r="Q45" s="710"/>
      <c r="R45" s="710"/>
      <c r="S45" s="710"/>
      <c r="T45" s="710"/>
      <c r="U45" s="710"/>
      <c r="V45" s="710"/>
      <c r="W45" s="710"/>
      <c r="X45" s="710"/>
      <c r="Y45" s="710"/>
      <c r="Z45" s="710"/>
      <c r="AA45" s="710"/>
      <c r="AB45" s="711"/>
      <c r="AD45" s="647"/>
      <c r="AE45" s="648"/>
      <c r="AF45" s="648"/>
      <c r="AG45" s="649"/>
      <c r="AJ45" s="657"/>
    </row>
    <row r="46" spans="2:36" ht="12.75" customHeight="1">
      <c r="B46" s="725">
        <v>10</v>
      </c>
      <c r="C46" s="1079"/>
      <c r="D46" s="1079"/>
      <c r="E46" s="729"/>
      <c r="F46" s="726"/>
      <c r="G46" s="726"/>
      <c r="H46" s="1079"/>
      <c r="I46" s="1079"/>
      <c r="J46" s="731"/>
      <c r="K46" s="731"/>
      <c r="L46" s="1080"/>
      <c r="M46" s="1080"/>
      <c r="N46" s="710"/>
      <c r="O46" s="710"/>
      <c r="P46" s="710"/>
      <c r="Q46" s="710"/>
      <c r="R46" s="710"/>
      <c r="S46" s="710"/>
      <c r="T46" s="710"/>
      <c r="U46" s="710"/>
      <c r="V46" s="710"/>
      <c r="W46" s="710"/>
      <c r="X46" s="710"/>
      <c r="Y46" s="710"/>
      <c r="Z46" s="710"/>
      <c r="AA46" s="710"/>
      <c r="AB46" s="711"/>
      <c r="AD46" s="647"/>
      <c r="AE46" s="648"/>
      <c r="AF46" s="648"/>
      <c r="AG46" s="649"/>
      <c r="AJ46" s="657"/>
    </row>
    <row r="47" spans="2:36" ht="12.75" customHeight="1">
      <c r="B47" s="725">
        <v>11</v>
      </c>
      <c r="C47" s="1079"/>
      <c r="D47" s="1079"/>
      <c r="E47" s="729"/>
      <c r="F47" s="726"/>
      <c r="G47" s="726"/>
      <c r="H47" s="1079"/>
      <c r="I47" s="1079"/>
      <c r="J47" s="731"/>
      <c r="K47" s="731"/>
      <c r="L47" s="1080"/>
      <c r="M47" s="1080"/>
      <c r="N47" s="710"/>
      <c r="O47" s="710"/>
      <c r="P47" s="710"/>
      <c r="Q47" s="710"/>
      <c r="R47" s="710"/>
      <c r="S47" s="710"/>
      <c r="T47" s="710"/>
      <c r="U47" s="710"/>
      <c r="V47" s="710"/>
      <c r="W47" s="710"/>
      <c r="X47" s="710"/>
      <c r="Y47" s="710"/>
      <c r="Z47" s="710"/>
      <c r="AA47" s="710"/>
      <c r="AB47" s="711"/>
      <c r="AD47" s="647"/>
      <c r="AE47" s="648"/>
      <c r="AF47" s="648"/>
      <c r="AG47" s="649"/>
      <c r="AJ47" s="657"/>
    </row>
    <row r="48" spans="2:33" ht="3.75" customHeight="1">
      <c r="B48" s="704"/>
      <c r="C48" s="705"/>
      <c r="D48" s="705"/>
      <c r="E48" s="705"/>
      <c r="F48" s="705"/>
      <c r="G48" s="705"/>
      <c r="H48" s="1085"/>
      <c r="I48" s="1085"/>
      <c r="J48" s="705"/>
      <c r="K48" s="705"/>
      <c r="L48" s="705"/>
      <c r="M48" s="706"/>
      <c r="N48" s="634"/>
      <c r="O48" s="634"/>
      <c r="P48" s="634"/>
      <c r="Q48" s="634"/>
      <c r="R48" s="634"/>
      <c r="S48" s="634"/>
      <c r="T48" s="634"/>
      <c r="U48" s="634"/>
      <c r="V48" s="634"/>
      <c r="W48" s="634"/>
      <c r="X48" s="634"/>
      <c r="Y48" s="634"/>
      <c r="Z48" s="634"/>
      <c r="AA48" s="634"/>
      <c r="AB48" s="628"/>
      <c r="AD48" s="647"/>
      <c r="AE48" s="648"/>
      <c r="AF48" s="648"/>
      <c r="AG48" s="649"/>
    </row>
    <row r="49" spans="2:38" ht="9.75" customHeight="1">
      <c r="B49" s="1086" t="str">
        <f>"               I  "&amp;('it pro'!R26)&amp;"   working as "&amp;('it data'!B26)&amp;" do  hereby  certify  that  the  sum  of Rs. "&amp;(IF(M24=0,0,M24)&amp;"/-Rupees in words "&amp;('RUPEES CONVERSATION'!B37))&amp;"deducted   at  source   and  paid  to  the credit  of the central Government.   I  further certify  that  the  Informtion givin above is true and  correct based on the books of account, documents and other available records."</f>
        <v>               I  Sri.    working as   do  hereby  certify  that  the  sum  of Rs. 23283/-Rupees in words (Twenty three Thousand Two Hundred and Eighty three rupees only)deducted   at  source   and  paid  to  the credit  of the central Government.   I  further certify  that  the  Informtion givin above is true and  correct based on the books of account, documents and other available records.</v>
      </c>
      <c r="C49" s="1086"/>
      <c r="D49" s="1086"/>
      <c r="E49" s="1086"/>
      <c r="F49" s="1086"/>
      <c r="G49" s="1086"/>
      <c r="H49" s="1086"/>
      <c r="I49" s="1086"/>
      <c r="J49" s="1086"/>
      <c r="K49" s="1086"/>
      <c r="L49" s="1086"/>
      <c r="M49" s="1086"/>
      <c r="N49" s="732"/>
      <c r="O49" s="732"/>
      <c r="P49" s="732"/>
      <c r="Q49" s="732"/>
      <c r="R49" s="732"/>
      <c r="S49" s="732"/>
      <c r="T49" s="732"/>
      <c r="U49" s="732"/>
      <c r="V49" s="732"/>
      <c r="W49" s="732"/>
      <c r="X49" s="732"/>
      <c r="Y49" s="732"/>
      <c r="Z49" s="732"/>
      <c r="AA49" s="732"/>
      <c r="AB49" s="733"/>
      <c r="AC49" s="709"/>
      <c r="AD49" s="734"/>
      <c r="AE49" s="735"/>
      <c r="AF49" s="709"/>
      <c r="AG49" s="709"/>
      <c r="AH49" s="709"/>
      <c r="AI49" s="709"/>
      <c r="AJ49" s="709"/>
      <c r="AK49" s="736"/>
      <c r="AL49" s="628"/>
    </row>
    <row r="50" spans="2:38" ht="15.75" customHeight="1">
      <c r="B50" s="1086"/>
      <c r="C50" s="1086"/>
      <c r="D50" s="1086"/>
      <c r="E50" s="1086"/>
      <c r="F50" s="1086"/>
      <c r="G50" s="1086"/>
      <c r="H50" s="1086"/>
      <c r="I50" s="1086"/>
      <c r="J50" s="1086"/>
      <c r="K50" s="1086"/>
      <c r="L50" s="1086"/>
      <c r="M50" s="1086"/>
      <c r="N50" s="733"/>
      <c r="O50" s="733"/>
      <c r="P50" s="733"/>
      <c r="Q50" s="733"/>
      <c r="R50" s="733"/>
      <c r="S50" s="733"/>
      <c r="T50" s="733"/>
      <c r="U50" s="733"/>
      <c r="V50" s="733"/>
      <c r="W50" s="733"/>
      <c r="X50" s="733"/>
      <c r="Y50" s="733"/>
      <c r="Z50" s="733"/>
      <c r="AA50" s="733"/>
      <c r="AB50" s="737"/>
      <c r="AC50" s="709"/>
      <c r="AD50" s="709"/>
      <c r="AE50" s="709"/>
      <c r="AF50" s="709"/>
      <c r="AG50" s="709"/>
      <c r="AH50" s="709"/>
      <c r="AI50" s="709"/>
      <c r="AJ50" s="709"/>
      <c r="AK50" s="709"/>
      <c r="AL50" s="628"/>
    </row>
    <row r="51" spans="2:38" ht="15.75" customHeight="1">
      <c r="B51" s="1086"/>
      <c r="C51" s="1086"/>
      <c r="D51" s="1086"/>
      <c r="E51" s="1086"/>
      <c r="F51" s="1086"/>
      <c r="G51" s="1086"/>
      <c r="H51" s="1086"/>
      <c r="I51" s="1086"/>
      <c r="J51" s="1086"/>
      <c r="K51" s="1086"/>
      <c r="L51" s="1086"/>
      <c r="M51" s="1086"/>
      <c r="N51" s="738"/>
      <c r="O51" s="738"/>
      <c r="P51" s="738"/>
      <c r="Q51" s="738"/>
      <c r="R51" s="738"/>
      <c r="S51" s="738"/>
      <c r="T51" s="738"/>
      <c r="U51" s="738"/>
      <c r="V51" s="738"/>
      <c r="W51" s="738"/>
      <c r="X51" s="738"/>
      <c r="Y51" s="738"/>
      <c r="Z51" s="738"/>
      <c r="AA51" s="738"/>
      <c r="AB51" s="711"/>
      <c r="AC51" s="739"/>
      <c r="AD51" s="739"/>
      <c r="AE51" s="739"/>
      <c r="AF51" s="739"/>
      <c r="AG51" s="739"/>
      <c r="AH51" s="739"/>
      <c r="AI51" s="739"/>
      <c r="AJ51" s="739"/>
      <c r="AK51" s="740"/>
      <c r="AL51" s="628"/>
    </row>
    <row r="52" spans="2:38" ht="15.75" customHeight="1">
      <c r="B52" s="1086"/>
      <c r="C52" s="1086"/>
      <c r="D52" s="1086"/>
      <c r="E52" s="1086"/>
      <c r="F52" s="1086"/>
      <c r="G52" s="1086"/>
      <c r="H52" s="1086"/>
      <c r="I52" s="1086"/>
      <c r="J52" s="1086"/>
      <c r="K52" s="1086"/>
      <c r="L52" s="1086"/>
      <c r="M52" s="1086"/>
      <c r="N52" s="733"/>
      <c r="O52" s="733"/>
      <c r="P52" s="733"/>
      <c r="Q52" s="733"/>
      <c r="R52" s="733"/>
      <c r="S52" s="733"/>
      <c r="T52" s="733"/>
      <c r="U52" s="733"/>
      <c r="V52" s="733"/>
      <c r="W52" s="733"/>
      <c r="X52" s="733"/>
      <c r="Y52" s="733"/>
      <c r="Z52" s="733"/>
      <c r="AA52" s="733"/>
      <c r="AB52" s="736"/>
      <c r="AC52" s="709"/>
      <c r="AD52" s="709"/>
      <c r="AE52" s="709"/>
      <c r="AF52" s="709"/>
      <c r="AG52" s="709"/>
      <c r="AH52" s="709"/>
      <c r="AI52" s="709"/>
      <c r="AJ52" s="709"/>
      <c r="AK52" s="709"/>
      <c r="AL52" s="628"/>
    </row>
    <row r="53" spans="2:38" ht="15.75" customHeight="1">
      <c r="B53" s="1086"/>
      <c r="C53" s="1086"/>
      <c r="D53" s="1086"/>
      <c r="E53" s="1086"/>
      <c r="F53" s="1086"/>
      <c r="G53" s="1086"/>
      <c r="H53" s="1086"/>
      <c r="I53" s="1086"/>
      <c r="J53" s="1086"/>
      <c r="K53" s="1086"/>
      <c r="L53" s="1086"/>
      <c r="M53" s="1086"/>
      <c r="N53" s="733"/>
      <c r="O53" s="733"/>
      <c r="P53" s="733"/>
      <c r="Q53" s="733"/>
      <c r="R53" s="733"/>
      <c r="S53" s="733"/>
      <c r="T53" s="733"/>
      <c r="U53" s="733"/>
      <c r="V53" s="733"/>
      <c r="W53" s="733"/>
      <c r="X53" s="733"/>
      <c r="Y53" s="733"/>
      <c r="Z53" s="733"/>
      <c r="AA53" s="733"/>
      <c r="AB53" s="737"/>
      <c r="AC53" s="709"/>
      <c r="AD53" s="709"/>
      <c r="AE53" s="709"/>
      <c r="AF53" s="709"/>
      <c r="AG53" s="709"/>
      <c r="AH53" s="709"/>
      <c r="AI53" s="709"/>
      <c r="AJ53" s="709"/>
      <c r="AK53" s="709"/>
      <c r="AL53" s="628"/>
    </row>
    <row r="54" spans="2:38" ht="10.5" customHeight="1">
      <c r="B54" s="741"/>
      <c r="C54" s="742"/>
      <c r="D54" s="742"/>
      <c r="E54" s="742"/>
      <c r="F54" s="742"/>
      <c r="G54" s="742"/>
      <c r="H54" s="742"/>
      <c r="I54" s="742"/>
      <c r="J54" s="742"/>
      <c r="K54" s="742"/>
      <c r="L54" s="742"/>
      <c r="M54" s="743"/>
      <c r="N54" s="744"/>
      <c r="O54" s="744"/>
      <c r="P54" s="744"/>
      <c r="Q54" s="744"/>
      <c r="R54" s="744"/>
      <c r="S54" s="744"/>
      <c r="T54" s="744"/>
      <c r="U54" s="744"/>
      <c r="V54" s="744"/>
      <c r="W54" s="744"/>
      <c r="X54" s="744"/>
      <c r="Y54" s="744"/>
      <c r="Z54" s="744"/>
      <c r="AA54" s="744"/>
      <c r="AB54" s="733"/>
      <c r="AC54" s="737"/>
      <c r="AD54" s="737"/>
      <c r="AE54" s="737"/>
      <c r="AF54" s="737"/>
      <c r="AG54" s="737"/>
      <c r="AH54" s="737"/>
      <c r="AI54" s="733"/>
      <c r="AJ54" s="733"/>
      <c r="AK54" s="733"/>
      <c r="AL54" s="628"/>
    </row>
    <row r="55" spans="2:38" ht="9" customHeight="1">
      <c r="B55" s="745"/>
      <c r="C55" s="637"/>
      <c r="D55" s="637"/>
      <c r="E55" s="637"/>
      <c r="F55" s="637"/>
      <c r="G55" s="637"/>
      <c r="H55" s="637"/>
      <c r="I55" s="637"/>
      <c r="J55" s="637"/>
      <c r="K55" s="637"/>
      <c r="L55" s="637"/>
      <c r="M55" s="746"/>
      <c r="N55" s="634"/>
      <c r="O55" s="634"/>
      <c r="P55" s="634"/>
      <c r="Q55" s="634"/>
      <c r="R55" s="634"/>
      <c r="S55" s="634"/>
      <c r="T55" s="634"/>
      <c r="U55" s="634"/>
      <c r="V55" s="634"/>
      <c r="W55" s="634"/>
      <c r="X55" s="634"/>
      <c r="Y55" s="634"/>
      <c r="Z55" s="634"/>
      <c r="AA55" s="634"/>
      <c r="AB55" s="628"/>
      <c r="AC55" s="628"/>
      <c r="AD55" s="628"/>
      <c r="AE55" s="628"/>
      <c r="AF55" s="628"/>
      <c r="AG55" s="628"/>
      <c r="AH55" s="628"/>
      <c r="AI55" s="628"/>
      <c r="AJ55" s="628"/>
      <c r="AK55" s="628"/>
      <c r="AL55" s="628"/>
    </row>
    <row r="56" spans="2:38" ht="9.75" customHeight="1">
      <c r="B56" s="745"/>
      <c r="C56" s="637"/>
      <c r="D56" s="637"/>
      <c r="E56" s="637"/>
      <c r="F56" s="637"/>
      <c r="G56" s="637"/>
      <c r="H56" s="637"/>
      <c r="I56" s="637"/>
      <c r="J56" s="637"/>
      <c r="K56" s="637"/>
      <c r="L56" s="637"/>
      <c r="M56" s="746"/>
      <c r="N56" s="634"/>
      <c r="O56" s="634"/>
      <c r="P56" s="634"/>
      <c r="Q56" s="634"/>
      <c r="R56" s="634"/>
      <c r="S56" s="634"/>
      <c r="T56" s="634"/>
      <c r="U56" s="634"/>
      <c r="V56" s="634"/>
      <c r="W56" s="634"/>
      <c r="X56" s="634"/>
      <c r="Y56" s="634"/>
      <c r="Z56" s="634"/>
      <c r="AA56" s="634"/>
      <c r="AB56" s="628"/>
      <c r="AC56" s="628"/>
      <c r="AD56" s="628"/>
      <c r="AE56" s="628"/>
      <c r="AF56" s="628"/>
      <c r="AG56" s="628"/>
      <c r="AH56" s="628"/>
      <c r="AI56" s="628"/>
      <c r="AJ56" s="628"/>
      <c r="AK56" s="628"/>
      <c r="AL56" s="628"/>
    </row>
    <row r="57" spans="2:38" ht="18" customHeight="1">
      <c r="B57" s="747"/>
      <c r="C57" s="672"/>
      <c r="D57" s="672"/>
      <c r="E57" s="672"/>
      <c r="F57" s="672"/>
      <c r="G57" s="748" t="s">
        <v>605</v>
      </c>
      <c r="H57" s="672"/>
      <c r="I57" s="672"/>
      <c r="J57" s="672"/>
      <c r="K57" s="672"/>
      <c r="L57" s="672"/>
      <c r="M57" s="749"/>
      <c r="N57" s="634"/>
      <c r="O57" s="634"/>
      <c r="P57" s="634"/>
      <c r="Q57" s="634"/>
      <c r="R57" s="634"/>
      <c r="S57" s="634"/>
      <c r="T57" s="634"/>
      <c r="U57" s="634"/>
      <c r="V57" s="634"/>
      <c r="W57" s="634"/>
      <c r="X57" s="634"/>
      <c r="Y57" s="634"/>
      <c r="Z57" s="634"/>
      <c r="AA57" s="634"/>
      <c r="AB57" s="628"/>
      <c r="AC57" s="750"/>
      <c r="AD57" s="750"/>
      <c r="AE57" s="750"/>
      <c r="AF57" s="750"/>
      <c r="AG57" s="750"/>
      <c r="AH57" s="750"/>
      <c r="AI57" s="628"/>
      <c r="AJ57" s="628"/>
      <c r="AK57" s="628"/>
      <c r="AL57" s="628"/>
    </row>
    <row r="58" spans="2:38" ht="6.75" customHeight="1">
      <c r="B58" s="747"/>
      <c r="C58" s="672"/>
      <c r="D58" s="672"/>
      <c r="E58" s="672"/>
      <c r="F58" s="672"/>
      <c r="G58" s="751"/>
      <c r="H58" s="672"/>
      <c r="I58" s="672"/>
      <c r="J58" s="672"/>
      <c r="K58" s="672"/>
      <c r="L58" s="672"/>
      <c r="M58" s="749"/>
      <c r="N58" s="634"/>
      <c r="O58" s="634"/>
      <c r="P58" s="634"/>
      <c r="Q58" s="634"/>
      <c r="R58" s="634"/>
      <c r="S58" s="634"/>
      <c r="T58" s="634"/>
      <c r="U58" s="634"/>
      <c r="V58" s="634"/>
      <c r="W58" s="634"/>
      <c r="X58" s="634"/>
      <c r="Y58" s="634"/>
      <c r="Z58" s="634"/>
      <c r="AA58" s="634"/>
      <c r="AB58" s="628"/>
      <c r="AC58" s="750"/>
      <c r="AD58" s="750"/>
      <c r="AE58" s="750"/>
      <c r="AF58" s="750"/>
      <c r="AG58" s="750"/>
      <c r="AH58" s="750"/>
      <c r="AI58" s="628"/>
      <c r="AJ58" s="628"/>
      <c r="AK58" s="628"/>
      <c r="AL58" s="628"/>
    </row>
    <row r="59" spans="2:38" ht="14.25" customHeight="1">
      <c r="B59" s="1082" t="s">
        <v>606</v>
      </c>
      <c r="C59" s="1082"/>
      <c r="D59" s="672" t="str">
        <f>'it data'!B27</f>
        <v> </v>
      </c>
      <c r="E59" s="672"/>
      <c r="F59" s="672"/>
      <c r="G59" s="692" t="s">
        <v>607</v>
      </c>
      <c r="H59" s="685"/>
      <c r="I59" s="672"/>
      <c r="J59" s="685"/>
      <c r="K59" s="672"/>
      <c r="L59" s="672"/>
      <c r="M59" s="752"/>
      <c r="N59" s="712"/>
      <c r="O59" s="712"/>
      <c r="P59" s="712"/>
      <c r="Q59" s="712"/>
      <c r="R59" s="712"/>
      <c r="S59" s="712"/>
      <c r="T59" s="712"/>
      <c r="U59" s="712"/>
      <c r="V59" s="712"/>
      <c r="W59" s="712"/>
      <c r="X59" s="712"/>
      <c r="Y59" s="712"/>
      <c r="Z59" s="712"/>
      <c r="AA59" s="712"/>
      <c r="AB59" s="732"/>
      <c r="AC59" s="709"/>
      <c r="AD59" s="709"/>
      <c r="AE59" s="709"/>
      <c r="AF59" s="709"/>
      <c r="AG59" s="709"/>
      <c r="AH59" s="709"/>
      <c r="AI59" s="628"/>
      <c r="AJ59" s="628"/>
      <c r="AK59" s="628"/>
      <c r="AL59" s="628"/>
    </row>
    <row r="60" spans="2:38" ht="15.75" customHeight="1">
      <c r="B60" s="1082" t="s">
        <v>608</v>
      </c>
      <c r="C60" s="1082"/>
      <c r="D60" s="1083" t="str">
        <f ca="1">TEXT(TODAY(),"dd-mmm-yyyy")</f>
        <v>03-Jan-2015</v>
      </c>
      <c r="E60" s="1083"/>
      <c r="F60" s="692"/>
      <c r="G60" s="748" t="s">
        <v>609</v>
      </c>
      <c r="H60" s="753"/>
      <c r="I60" s="685" t="str">
        <f>IF(OR('it data'!B25=0,'it data'!B25=""),"",'it data'!B25)</f>
        <v> </v>
      </c>
      <c r="J60" s="685"/>
      <c r="K60" s="685"/>
      <c r="L60" s="672"/>
      <c r="M60" s="754"/>
      <c r="N60" s="744"/>
      <c r="O60" s="744"/>
      <c r="P60" s="744"/>
      <c r="Q60" s="744"/>
      <c r="R60" s="744"/>
      <c r="S60" s="744"/>
      <c r="T60" s="744"/>
      <c r="U60" s="744"/>
      <c r="V60" s="744"/>
      <c r="W60" s="744"/>
      <c r="X60" s="744"/>
      <c r="Y60" s="744"/>
      <c r="Z60" s="744"/>
      <c r="AA60" s="744"/>
      <c r="AB60" s="733"/>
      <c r="AC60" s="737"/>
      <c r="AD60" s="737"/>
      <c r="AE60" s="737"/>
      <c r="AF60" s="737"/>
      <c r="AG60" s="737"/>
      <c r="AH60" s="737"/>
      <c r="AI60" s="737"/>
      <c r="AJ60" s="737"/>
      <c r="AK60" s="628"/>
      <c r="AL60" s="628"/>
    </row>
    <row r="61" spans="2:38" ht="15.75" customHeight="1">
      <c r="B61" s="747"/>
      <c r="C61" s="672"/>
      <c r="D61" s="672"/>
      <c r="E61" s="672"/>
      <c r="F61" s="755"/>
      <c r="G61" s="748" t="s">
        <v>610</v>
      </c>
      <c r="H61" s="753"/>
      <c r="I61" s="685" t="str">
        <f>'it data'!B26</f>
        <v> </v>
      </c>
      <c r="J61" s="685"/>
      <c r="K61" s="685"/>
      <c r="L61" s="672"/>
      <c r="M61" s="754"/>
      <c r="N61" s="744"/>
      <c r="O61" s="744"/>
      <c r="P61" s="744"/>
      <c r="Q61" s="744"/>
      <c r="R61" s="744"/>
      <c r="S61" s="744"/>
      <c r="T61" s="744"/>
      <c r="U61" s="744"/>
      <c r="V61" s="744"/>
      <c r="W61" s="744"/>
      <c r="X61" s="744"/>
      <c r="Y61" s="744"/>
      <c r="Z61" s="744"/>
      <c r="AA61" s="744"/>
      <c r="AB61" s="733"/>
      <c r="AC61" s="737"/>
      <c r="AD61" s="737"/>
      <c r="AE61" s="737"/>
      <c r="AF61" s="737"/>
      <c r="AG61" s="737"/>
      <c r="AH61" s="737"/>
      <c r="AI61" s="737"/>
      <c r="AJ61" s="737"/>
      <c r="AK61" s="628"/>
      <c r="AL61" s="628"/>
    </row>
    <row r="62" spans="2:38" ht="15.75" customHeight="1">
      <c r="B62" s="756"/>
      <c r="C62" s="757"/>
      <c r="D62" s="757"/>
      <c r="E62" s="757"/>
      <c r="F62" s="757"/>
      <c r="G62" s="757"/>
      <c r="H62" s="757"/>
      <c r="I62" s="757"/>
      <c r="J62" s="757"/>
      <c r="K62" s="757"/>
      <c r="L62" s="757"/>
      <c r="M62" s="758"/>
      <c r="N62" s="634"/>
      <c r="O62" s="634"/>
      <c r="P62" s="634"/>
      <c r="Q62" s="634"/>
      <c r="R62" s="634"/>
      <c r="S62" s="634"/>
      <c r="T62" s="634"/>
      <c r="U62" s="634"/>
      <c r="V62" s="634"/>
      <c r="W62" s="634"/>
      <c r="X62" s="634"/>
      <c r="Y62" s="634"/>
      <c r="Z62" s="634"/>
      <c r="AA62" s="634"/>
      <c r="AB62" s="628"/>
      <c r="AC62" s="628"/>
      <c r="AD62" s="628"/>
      <c r="AE62" s="628"/>
      <c r="AF62" s="628"/>
      <c r="AG62" s="628"/>
      <c r="AH62" s="628"/>
      <c r="AI62" s="628"/>
      <c r="AJ62" s="628"/>
      <c r="AK62" s="628"/>
      <c r="AL62" s="628"/>
    </row>
    <row r="63" spans="2:28" ht="16.5" customHeight="1">
      <c r="B63"/>
      <c r="C63" s="759"/>
      <c r="D63" s="759"/>
      <c r="E63" s="759"/>
      <c r="F63" s="759"/>
      <c r="G63" s="760" t="s">
        <v>569</v>
      </c>
      <c r="H63" s="759"/>
      <c r="I63" s="759"/>
      <c r="J63" s="759"/>
      <c r="K63" s="759"/>
      <c r="L63" s="759"/>
      <c r="M63" s="759"/>
      <c r="N63" s="634"/>
      <c r="O63" s="634"/>
      <c r="P63" s="634"/>
      <c r="Q63" s="634"/>
      <c r="R63" s="634"/>
      <c r="S63" s="634"/>
      <c r="T63" s="634"/>
      <c r="U63" s="634"/>
      <c r="V63" s="634"/>
      <c r="W63" s="634"/>
      <c r="X63" s="634"/>
      <c r="Y63" s="634"/>
      <c r="Z63" s="634"/>
      <c r="AA63" s="634"/>
      <c r="AB63" s="628"/>
    </row>
    <row r="64" spans="2:28" ht="7.5" customHeight="1">
      <c r="B64" s="761"/>
      <c r="C64" s="761"/>
      <c r="D64" s="761"/>
      <c r="E64" s="761"/>
      <c r="F64" s="761"/>
      <c r="G64" s="761"/>
      <c r="H64" s="761"/>
      <c r="I64" s="761"/>
      <c r="J64" s="761"/>
      <c r="K64" s="761"/>
      <c r="L64" s="761"/>
      <c r="M64" s="761"/>
      <c r="N64" s="634"/>
      <c r="O64" s="634"/>
      <c r="P64" s="634"/>
      <c r="Q64" s="634"/>
      <c r="R64" s="634"/>
      <c r="S64" s="634"/>
      <c r="T64" s="634"/>
      <c r="U64" s="634"/>
      <c r="V64" s="634"/>
      <c r="W64" s="634"/>
      <c r="X64" s="634"/>
      <c r="Y64" s="634"/>
      <c r="Z64" s="634"/>
      <c r="AA64" s="634"/>
      <c r="AB64" s="628"/>
    </row>
    <row r="65" spans="2:28" ht="7.5" customHeight="1">
      <c r="B65" s="761"/>
      <c r="C65" s="761"/>
      <c r="D65" s="761"/>
      <c r="E65" s="761"/>
      <c r="F65" s="761"/>
      <c r="G65" s="761"/>
      <c r="H65" s="761"/>
      <c r="I65" s="761"/>
      <c r="J65" s="761"/>
      <c r="K65" s="761"/>
      <c r="L65" s="761"/>
      <c r="M65" s="761"/>
      <c r="N65" s="634"/>
      <c r="O65" s="634"/>
      <c r="P65" s="634"/>
      <c r="Q65" s="634"/>
      <c r="R65" s="634"/>
      <c r="S65" s="634"/>
      <c r="T65" s="634"/>
      <c r="U65" s="634"/>
      <c r="V65" s="634"/>
      <c r="W65" s="634"/>
      <c r="X65" s="634"/>
      <c r="Y65" s="634"/>
      <c r="Z65" s="634"/>
      <c r="AA65" s="634"/>
      <c r="AB65" s="628"/>
    </row>
    <row r="66" spans="2:28" ht="12" customHeight="1">
      <c r="B66" s="761"/>
      <c r="C66" s="761"/>
      <c r="D66" s="761"/>
      <c r="E66" s="761"/>
      <c r="F66" s="761"/>
      <c r="G66" s="761"/>
      <c r="H66" s="761"/>
      <c r="I66" s="761"/>
      <c r="J66" s="761"/>
      <c r="K66" s="761"/>
      <c r="L66" s="761"/>
      <c r="M66" s="761"/>
      <c r="N66" s="634"/>
      <c r="O66" s="634"/>
      <c r="P66" s="634"/>
      <c r="Q66" s="634"/>
      <c r="R66" s="634"/>
      <c r="S66" s="634"/>
      <c r="T66" s="634"/>
      <c r="U66" s="634"/>
      <c r="V66" s="634"/>
      <c r="W66" s="634"/>
      <c r="X66" s="634"/>
      <c r="Y66" s="634"/>
      <c r="Z66" s="634"/>
      <c r="AA66" s="634"/>
      <c r="AB66" s="628"/>
    </row>
    <row r="67" spans="2:28" ht="12" customHeight="1">
      <c r="B67" s="761"/>
      <c r="C67" s="761"/>
      <c r="D67" s="761"/>
      <c r="E67" s="761"/>
      <c r="F67" s="761"/>
      <c r="G67" s="761"/>
      <c r="H67" s="761"/>
      <c r="I67" s="761"/>
      <c r="J67" s="761"/>
      <c r="K67" s="761"/>
      <c r="L67" s="761"/>
      <c r="M67" s="761"/>
      <c r="N67" s="634"/>
      <c r="O67" s="634"/>
      <c r="P67" s="634"/>
      <c r="Q67" s="634"/>
      <c r="R67" s="634"/>
      <c r="S67" s="634"/>
      <c r="T67" s="634"/>
      <c r="U67" s="634"/>
      <c r="V67" s="634"/>
      <c r="W67" s="634"/>
      <c r="X67" s="634"/>
      <c r="Y67" s="634"/>
      <c r="Z67" s="634"/>
      <c r="AA67" s="634"/>
      <c r="AB67" s="750"/>
    </row>
    <row r="68" spans="2:28" ht="16.5">
      <c r="B68" s="761"/>
      <c r="C68" s="761"/>
      <c r="D68" s="761"/>
      <c r="E68" s="761"/>
      <c r="F68" s="761"/>
      <c r="G68" s="761"/>
      <c r="H68" s="761"/>
      <c r="I68" s="761"/>
      <c r="J68" s="761"/>
      <c r="K68" s="761"/>
      <c r="L68" s="761"/>
      <c r="M68" s="761"/>
      <c r="N68" s="761"/>
      <c r="O68" s="761"/>
      <c r="P68" s="761"/>
      <c r="Q68" s="761"/>
      <c r="R68" s="761"/>
      <c r="S68" s="761"/>
      <c r="T68" s="761"/>
      <c r="U68" s="761"/>
      <c r="V68" s="761"/>
      <c r="W68" s="761"/>
      <c r="X68" s="761"/>
      <c r="Y68" s="761"/>
      <c r="Z68" s="761"/>
      <c r="AA68" s="761"/>
      <c r="AB68" s="761"/>
    </row>
    <row r="69" spans="2:28" ht="16.5">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761"/>
      <c r="AB69" s="761"/>
    </row>
    <row r="70" spans="2:28" ht="16.5">
      <c r="B70" s="761"/>
      <c r="C70" s="761"/>
      <c r="D70" s="761"/>
      <c r="E70" s="761"/>
      <c r="F70" s="761"/>
      <c r="G70" s="761"/>
      <c r="H70" s="761"/>
      <c r="I70" s="761"/>
      <c r="J70" s="761"/>
      <c r="K70" s="761"/>
      <c r="L70" s="761"/>
      <c r="M70" s="761"/>
      <c r="N70" s="761"/>
      <c r="O70" s="761"/>
      <c r="P70" s="761"/>
      <c r="Q70" s="761"/>
      <c r="R70" s="761"/>
      <c r="S70" s="761"/>
      <c r="T70" s="761"/>
      <c r="U70" s="761"/>
      <c r="V70" s="761"/>
      <c r="W70" s="761"/>
      <c r="X70" s="761"/>
      <c r="Y70" s="761"/>
      <c r="Z70" s="761"/>
      <c r="AA70" s="761"/>
      <c r="AB70" s="761"/>
    </row>
    <row r="71" spans="2:28" ht="16.5">
      <c r="B71" s="761"/>
      <c r="C71" s="761"/>
      <c r="D71" s="761"/>
      <c r="E71" s="761"/>
      <c r="F71" s="761"/>
      <c r="G71" s="761"/>
      <c r="H71" s="761"/>
      <c r="I71" s="761"/>
      <c r="J71" s="761"/>
      <c r="K71" s="761"/>
      <c r="L71" s="761"/>
      <c r="M71" s="761"/>
      <c r="N71" s="761"/>
      <c r="O71" s="761"/>
      <c r="P71" s="761"/>
      <c r="Q71" s="761"/>
      <c r="R71" s="761"/>
      <c r="S71" s="761"/>
      <c r="T71" s="761"/>
      <c r="U71" s="761"/>
      <c r="V71" s="761"/>
      <c r="W71" s="761"/>
      <c r="X71" s="761"/>
      <c r="Y71" s="761"/>
      <c r="Z71" s="761"/>
      <c r="AA71" s="761"/>
      <c r="AB71" s="761"/>
    </row>
    <row r="72" spans="2:28" ht="16.5">
      <c r="B72" s="761"/>
      <c r="C72" s="761"/>
      <c r="D72" s="761"/>
      <c r="E72" s="761"/>
      <c r="F72" s="761"/>
      <c r="G72" s="761"/>
      <c r="H72" s="761"/>
      <c r="I72" s="761"/>
      <c r="J72" s="761"/>
      <c r="K72" s="761"/>
      <c r="L72" s="761"/>
      <c r="M72" s="761"/>
      <c r="N72" s="761"/>
      <c r="O72" s="761"/>
      <c r="P72" s="761"/>
      <c r="Q72" s="761"/>
      <c r="R72" s="761"/>
      <c r="S72" s="761"/>
      <c r="T72" s="761"/>
      <c r="U72" s="761"/>
      <c r="V72" s="761"/>
      <c r="W72" s="761"/>
      <c r="X72" s="761"/>
      <c r="Y72" s="761"/>
      <c r="Z72" s="761"/>
      <c r="AA72" s="761"/>
      <c r="AB72" s="761"/>
    </row>
    <row r="73" spans="2:28" ht="16.5">
      <c r="B73" s="761"/>
      <c r="C73" s="761"/>
      <c r="D73" s="761"/>
      <c r="E73" s="761"/>
      <c r="F73" s="761"/>
      <c r="G73" s="761"/>
      <c r="H73" s="761"/>
      <c r="I73" s="761"/>
      <c r="J73" s="761"/>
      <c r="K73" s="761"/>
      <c r="L73" s="761"/>
      <c r="M73" s="761"/>
      <c r="N73" s="761"/>
      <c r="O73" s="761"/>
      <c r="P73" s="761"/>
      <c r="Q73" s="761"/>
      <c r="R73" s="761"/>
      <c r="S73" s="761"/>
      <c r="T73" s="761"/>
      <c r="U73" s="761"/>
      <c r="V73" s="761"/>
      <c r="W73" s="761"/>
      <c r="X73" s="761"/>
      <c r="Y73" s="761"/>
      <c r="Z73" s="761"/>
      <c r="AA73" s="761"/>
      <c r="AB73" s="761"/>
    </row>
    <row r="74" spans="2:28" ht="16.5">
      <c r="B74" s="761"/>
      <c r="C74" s="761"/>
      <c r="D74" s="761"/>
      <c r="E74" s="761"/>
      <c r="F74" s="761"/>
      <c r="G74" s="761"/>
      <c r="H74" s="761"/>
      <c r="I74" s="761"/>
      <c r="J74" s="761"/>
      <c r="K74" s="761"/>
      <c r="L74" s="761"/>
      <c r="M74" s="761"/>
      <c r="N74" s="761"/>
      <c r="O74" s="761"/>
      <c r="P74" s="761"/>
      <c r="Q74" s="761"/>
      <c r="R74" s="761"/>
      <c r="S74" s="761"/>
      <c r="T74" s="761"/>
      <c r="U74" s="761"/>
      <c r="V74" s="761"/>
      <c r="W74" s="761"/>
      <c r="X74" s="761"/>
      <c r="Y74" s="761"/>
      <c r="Z74" s="761"/>
      <c r="AA74" s="761"/>
      <c r="AB74" s="761"/>
    </row>
    <row r="75" spans="2:28" ht="16.5">
      <c r="B75" s="761"/>
      <c r="C75" s="761"/>
      <c r="D75" s="761"/>
      <c r="E75" s="761"/>
      <c r="F75" s="761"/>
      <c r="G75" s="761"/>
      <c r="H75" s="761"/>
      <c r="I75" s="761"/>
      <c r="J75" s="761"/>
      <c r="K75" s="761"/>
      <c r="L75" s="761"/>
      <c r="M75" s="761"/>
      <c r="N75" s="761"/>
      <c r="O75" s="761"/>
      <c r="P75" s="761"/>
      <c r="Q75" s="761"/>
      <c r="R75" s="761"/>
      <c r="S75" s="761"/>
      <c r="T75" s="761"/>
      <c r="U75" s="761"/>
      <c r="V75" s="761"/>
      <c r="W75" s="761"/>
      <c r="X75" s="761"/>
      <c r="Y75" s="761"/>
      <c r="Z75" s="761"/>
      <c r="AA75" s="761"/>
      <c r="AB75" s="761"/>
    </row>
    <row r="76" spans="2:28" ht="16.5">
      <c r="B76" s="761"/>
      <c r="C76" s="761"/>
      <c r="D76" s="761"/>
      <c r="E76" s="761"/>
      <c r="F76" s="761"/>
      <c r="G76" s="761"/>
      <c r="H76" s="761"/>
      <c r="I76" s="761"/>
      <c r="J76" s="761"/>
      <c r="K76" s="761"/>
      <c r="L76" s="761"/>
      <c r="M76" s="761"/>
      <c r="N76" s="761"/>
      <c r="O76" s="761"/>
      <c r="P76" s="761"/>
      <c r="Q76" s="761"/>
      <c r="R76" s="761"/>
      <c r="S76" s="761"/>
      <c r="T76" s="761"/>
      <c r="U76" s="761"/>
      <c r="V76" s="761"/>
      <c r="W76" s="761"/>
      <c r="X76" s="761"/>
      <c r="Y76" s="761"/>
      <c r="Z76" s="761"/>
      <c r="AA76" s="761"/>
      <c r="AB76" s="761"/>
    </row>
    <row r="77" spans="2:28" ht="16.5">
      <c r="B77" s="761"/>
      <c r="C77" s="761"/>
      <c r="D77" s="761"/>
      <c r="E77" s="761"/>
      <c r="F77" s="761"/>
      <c r="G77" s="761"/>
      <c r="H77" s="761"/>
      <c r="I77" s="761"/>
      <c r="J77" s="761"/>
      <c r="K77" s="761"/>
      <c r="L77" s="761"/>
      <c r="M77" s="761"/>
      <c r="N77" s="761"/>
      <c r="O77" s="761"/>
      <c r="P77" s="761"/>
      <c r="Q77" s="761"/>
      <c r="R77" s="761"/>
      <c r="S77" s="761"/>
      <c r="T77" s="761"/>
      <c r="U77" s="761"/>
      <c r="V77" s="761"/>
      <c r="W77" s="761"/>
      <c r="X77" s="761"/>
      <c r="Y77" s="761"/>
      <c r="Z77" s="761"/>
      <c r="AA77" s="761"/>
      <c r="AB77" s="761"/>
    </row>
    <row r="78" spans="2:28" ht="16.5">
      <c r="B78" s="761"/>
      <c r="C78" s="761"/>
      <c r="D78" s="761"/>
      <c r="E78" s="761"/>
      <c r="F78" s="761"/>
      <c r="G78" s="761"/>
      <c r="H78" s="761"/>
      <c r="I78" s="761"/>
      <c r="J78" s="761"/>
      <c r="K78" s="761"/>
      <c r="L78" s="761"/>
      <c r="M78" s="761"/>
      <c r="N78" s="761"/>
      <c r="O78" s="761"/>
      <c r="P78" s="761"/>
      <c r="Q78" s="761"/>
      <c r="R78" s="761"/>
      <c r="S78" s="761"/>
      <c r="T78" s="761"/>
      <c r="U78" s="761"/>
      <c r="V78" s="761"/>
      <c r="W78" s="761"/>
      <c r="X78" s="761"/>
      <c r="Y78" s="761"/>
      <c r="Z78" s="761"/>
      <c r="AA78" s="761"/>
      <c r="AB78" s="761"/>
    </row>
    <row r="79" spans="2:28" ht="16.5">
      <c r="B79" s="761"/>
      <c r="C79" s="761"/>
      <c r="D79" s="761"/>
      <c r="E79" s="761"/>
      <c r="F79" s="761"/>
      <c r="G79" s="761"/>
      <c r="H79" s="761"/>
      <c r="I79" s="761"/>
      <c r="J79" s="761"/>
      <c r="K79" s="761"/>
      <c r="L79" s="761"/>
      <c r="M79" s="761"/>
      <c r="N79" s="761"/>
      <c r="O79" s="761"/>
      <c r="P79" s="761"/>
      <c r="Q79" s="761"/>
      <c r="R79" s="761"/>
      <c r="S79" s="761"/>
      <c r="T79" s="761"/>
      <c r="U79" s="761"/>
      <c r="V79" s="761"/>
      <c r="W79" s="761"/>
      <c r="X79" s="761"/>
      <c r="Y79" s="761"/>
      <c r="Z79" s="761"/>
      <c r="AA79" s="761"/>
      <c r="AB79" s="761"/>
    </row>
    <row r="80" spans="2:28" ht="16.5">
      <c r="B80" s="761"/>
      <c r="C80" s="761"/>
      <c r="D80" s="761"/>
      <c r="E80" s="761"/>
      <c r="F80" s="761"/>
      <c r="G80" s="761"/>
      <c r="H80" s="761"/>
      <c r="I80" s="761"/>
      <c r="J80" s="761"/>
      <c r="K80" s="761"/>
      <c r="L80" s="761"/>
      <c r="M80" s="761"/>
      <c r="N80" s="761"/>
      <c r="O80" s="761"/>
      <c r="P80" s="761"/>
      <c r="Q80" s="761"/>
      <c r="R80" s="761"/>
      <c r="S80" s="761"/>
      <c r="T80" s="761"/>
      <c r="U80" s="761"/>
      <c r="V80" s="761"/>
      <c r="W80" s="761"/>
      <c r="X80" s="761"/>
      <c r="Y80" s="761"/>
      <c r="Z80" s="761"/>
      <c r="AA80" s="761"/>
      <c r="AB80" s="761"/>
    </row>
    <row r="81" spans="2:28" ht="16.5">
      <c r="B81" s="761"/>
      <c r="C81" s="761"/>
      <c r="D81" s="761"/>
      <c r="E81" s="761"/>
      <c r="F81" s="761"/>
      <c r="G81" s="761"/>
      <c r="H81" s="761"/>
      <c r="I81" s="761"/>
      <c r="J81" s="761"/>
      <c r="K81" s="761"/>
      <c r="L81" s="761"/>
      <c r="M81" s="761"/>
      <c r="N81" s="761"/>
      <c r="O81" s="761"/>
      <c r="P81" s="761"/>
      <c r="Q81" s="761"/>
      <c r="R81" s="761"/>
      <c r="S81" s="761"/>
      <c r="T81" s="761"/>
      <c r="U81" s="761"/>
      <c r="V81" s="761"/>
      <c r="W81" s="761"/>
      <c r="X81" s="761"/>
      <c r="Y81" s="761"/>
      <c r="Z81" s="761"/>
      <c r="AA81" s="761"/>
      <c r="AB81" s="761"/>
    </row>
    <row r="82" spans="2:28" ht="16.5">
      <c r="B82" s="761"/>
      <c r="C82" s="761"/>
      <c r="D82" s="761"/>
      <c r="E82" s="761"/>
      <c r="F82" s="761"/>
      <c r="G82" s="761"/>
      <c r="H82" s="761"/>
      <c r="I82" s="761"/>
      <c r="J82" s="761"/>
      <c r="K82" s="761"/>
      <c r="L82" s="761"/>
      <c r="M82" s="761"/>
      <c r="N82" s="761"/>
      <c r="O82" s="761"/>
      <c r="P82" s="761"/>
      <c r="Q82" s="761"/>
      <c r="R82" s="761"/>
      <c r="S82" s="761"/>
      <c r="T82" s="761"/>
      <c r="U82" s="761"/>
      <c r="V82" s="761"/>
      <c r="W82" s="761"/>
      <c r="X82" s="761"/>
      <c r="Y82" s="761"/>
      <c r="Z82" s="761"/>
      <c r="AA82" s="761"/>
      <c r="AB82" s="761"/>
    </row>
    <row r="83" spans="2:28" ht="16.5">
      <c r="B83" s="761"/>
      <c r="C83" s="761"/>
      <c r="D83" s="761"/>
      <c r="E83" s="761"/>
      <c r="F83" s="761"/>
      <c r="G83" s="761"/>
      <c r="H83" s="761"/>
      <c r="I83" s="761"/>
      <c r="J83" s="761"/>
      <c r="K83" s="761"/>
      <c r="L83" s="761"/>
      <c r="M83" s="761"/>
      <c r="N83" s="761"/>
      <c r="O83" s="761"/>
      <c r="P83" s="761"/>
      <c r="Q83" s="761"/>
      <c r="R83" s="761"/>
      <c r="S83" s="761"/>
      <c r="T83" s="761"/>
      <c r="U83" s="761"/>
      <c r="V83" s="761"/>
      <c r="W83" s="761"/>
      <c r="X83" s="761"/>
      <c r="Y83" s="761"/>
      <c r="Z83" s="761"/>
      <c r="AA83" s="761"/>
      <c r="AB83" s="761"/>
    </row>
    <row r="84" spans="2:28" ht="16.5">
      <c r="B84" s="761"/>
      <c r="C84" s="761"/>
      <c r="D84" s="761"/>
      <c r="E84" s="761"/>
      <c r="F84" s="761"/>
      <c r="G84" s="761"/>
      <c r="H84" s="761"/>
      <c r="I84" s="761"/>
      <c r="J84" s="761"/>
      <c r="K84" s="761"/>
      <c r="L84" s="761"/>
      <c r="M84" s="761"/>
      <c r="N84" s="761"/>
      <c r="O84" s="761"/>
      <c r="P84" s="761"/>
      <c r="Q84" s="761"/>
      <c r="R84" s="761"/>
      <c r="S84" s="761"/>
      <c r="T84" s="761"/>
      <c r="U84" s="761"/>
      <c r="V84" s="761"/>
      <c r="W84" s="761"/>
      <c r="X84" s="761"/>
      <c r="Y84" s="761"/>
      <c r="Z84" s="761"/>
      <c r="AA84" s="761"/>
      <c r="AB84" s="761"/>
    </row>
    <row r="85" spans="2:28" ht="16.5">
      <c r="B85" s="761"/>
      <c r="C85" s="761"/>
      <c r="D85" s="761"/>
      <c r="E85" s="761"/>
      <c r="F85" s="761"/>
      <c r="G85" s="761"/>
      <c r="H85" s="761"/>
      <c r="I85" s="761"/>
      <c r="J85" s="761"/>
      <c r="K85" s="761"/>
      <c r="L85" s="761"/>
      <c r="M85" s="761"/>
      <c r="N85" s="761"/>
      <c r="O85" s="761"/>
      <c r="P85" s="761"/>
      <c r="Q85" s="761"/>
      <c r="R85" s="761"/>
      <c r="S85" s="761"/>
      <c r="T85" s="761"/>
      <c r="U85" s="761"/>
      <c r="V85" s="761"/>
      <c r="W85" s="761"/>
      <c r="X85" s="761"/>
      <c r="Y85" s="761"/>
      <c r="Z85" s="761"/>
      <c r="AA85" s="761"/>
      <c r="AB85" s="761"/>
    </row>
    <row r="86" spans="2:28" ht="16.5">
      <c r="B86" s="761"/>
      <c r="C86" s="761"/>
      <c r="D86" s="761"/>
      <c r="E86" s="761"/>
      <c r="F86" s="761"/>
      <c r="G86" s="761"/>
      <c r="H86" s="761"/>
      <c r="I86" s="761"/>
      <c r="J86" s="761"/>
      <c r="K86" s="761"/>
      <c r="L86" s="761"/>
      <c r="M86" s="761"/>
      <c r="N86" s="761"/>
      <c r="O86" s="761"/>
      <c r="P86" s="761"/>
      <c r="Q86" s="761"/>
      <c r="R86" s="761"/>
      <c r="S86" s="761"/>
      <c r="T86" s="761"/>
      <c r="U86" s="761"/>
      <c r="V86" s="761"/>
      <c r="W86" s="761"/>
      <c r="X86" s="761"/>
      <c r="Y86" s="761"/>
      <c r="Z86" s="761"/>
      <c r="AA86" s="761"/>
      <c r="AB86" s="761"/>
    </row>
    <row r="87" spans="2:28" ht="16.5">
      <c r="B87" s="761"/>
      <c r="C87" s="761"/>
      <c r="D87" s="761"/>
      <c r="E87" s="761"/>
      <c r="F87" s="761"/>
      <c r="G87" s="761"/>
      <c r="H87" s="761"/>
      <c r="I87" s="761"/>
      <c r="J87" s="761"/>
      <c r="K87" s="761"/>
      <c r="L87" s="761"/>
      <c r="M87" s="761"/>
      <c r="N87" s="761"/>
      <c r="O87" s="761"/>
      <c r="P87" s="761"/>
      <c r="Q87" s="761"/>
      <c r="R87" s="761"/>
      <c r="S87" s="761"/>
      <c r="T87" s="761"/>
      <c r="U87" s="761"/>
      <c r="V87" s="761"/>
      <c r="W87" s="761"/>
      <c r="X87" s="761"/>
      <c r="Y87" s="761"/>
      <c r="Z87" s="761"/>
      <c r="AA87" s="761"/>
      <c r="AB87" s="761"/>
    </row>
    <row r="88" spans="2:28" ht="16.5">
      <c r="B88" s="761"/>
      <c r="C88" s="761"/>
      <c r="D88" s="761"/>
      <c r="E88" s="761"/>
      <c r="F88" s="761"/>
      <c r="G88" s="761"/>
      <c r="H88" s="761"/>
      <c r="I88" s="761"/>
      <c r="J88" s="761"/>
      <c r="K88" s="761"/>
      <c r="L88" s="761"/>
      <c r="M88" s="761"/>
      <c r="N88" s="761"/>
      <c r="O88" s="761"/>
      <c r="P88" s="761"/>
      <c r="Q88" s="761"/>
      <c r="R88" s="761"/>
      <c r="S88" s="761"/>
      <c r="T88" s="761"/>
      <c r="U88" s="761"/>
      <c r="V88" s="761"/>
      <c r="W88" s="761"/>
      <c r="X88" s="761"/>
      <c r="Y88" s="761"/>
      <c r="Z88" s="761"/>
      <c r="AA88" s="761"/>
      <c r="AB88" s="761"/>
    </row>
    <row r="89" spans="2:28" ht="16.5">
      <c r="B89" s="761"/>
      <c r="C89" s="761"/>
      <c r="D89" s="761"/>
      <c r="E89" s="761"/>
      <c r="F89" s="761"/>
      <c r="G89" s="761"/>
      <c r="H89" s="761"/>
      <c r="I89" s="761"/>
      <c r="J89" s="761"/>
      <c r="K89" s="761"/>
      <c r="L89" s="761"/>
      <c r="M89" s="761"/>
      <c r="N89" s="761"/>
      <c r="O89" s="761"/>
      <c r="P89" s="761"/>
      <c r="Q89" s="761"/>
      <c r="R89" s="761"/>
      <c r="S89" s="761"/>
      <c r="T89" s="761"/>
      <c r="U89" s="761"/>
      <c r="V89" s="761"/>
      <c r="W89" s="761"/>
      <c r="X89" s="761"/>
      <c r="Y89" s="761"/>
      <c r="Z89" s="761"/>
      <c r="AA89" s="761"/>
      <c r="AB89" s="761"/>
    </row>
    <row r="90" spans="2:28" ht="16.5">
      <c r="B90" s="761"/>
      <c r="C90" s="761"/>
      <c r="D90" s="761"/>
      <c r="E90" s="761"/>
      <c r="F90" s="761"/>
      <c r="G90" s="761"/>
      <c r="H90" s="761"/>
      <c r="I90" s="761"/>
      <c r="J90" s="761"/>
      <c r="K90" s="761"/>
      <c r="L90" s="761"/>
      <c r="M90" s="761"/>
      <c r="N90" s="761"/>
      <c r="O90" s="761"/>
      <c r="P90" s="761"/>
      <c r="Q90" s="761"/>
      <c r="R90" s="761"/>
      <c r="S90" s="761"/>
      <c r="T90" s="761"/>
      <c r="U90" s="761"/>
      <c r="V90" s="761"/>
      <c r="W90" s="761"/>
      <c r="X90" s="761"/>
      <c r="Y90" s="761"/>
      <c r="Z90" s="761"/>
      <c r="AA90" s="761"/>
      <c r="AB90" s="761"/>
    </row>
    <row r="91" spans="2:28" ht="16.5">
      <c r="B91" s="761"/>
      <c r="C91" s="761"/>
      <c r="D91" s="761"/>
      <c r="E91" s="761"/>
      <c r="F91" s="761"/>
      <c r="G91" s="761"/>
      <c r="H91" s="761"/>
      <c r="I91" s="761"/>
      <c r="J91" s="761"/>
      <c r="K91" s="761"/>
      <c r="L91" s="761"/>
      <c r="M91" s="761"/>
      <c r="N91" s="761"/>
      <c r="O91" s="761"/>
      <c r="P91" s="761"/>
      <c r="Q91" s="761"/>
      <c r="R91" s="761"/>
      <c r="S91" s="761"/>
      <c r="T91" s="761"/>
      <c r="U91" s="761"/>
      <c r="V91" s="761"/>
      <c r="W91" s="761"/>
      <c r="X91" s="761"/>
      <c r="Y91" s="761"/>
      <c r="Z91" s="761"/>
      <c r="AA91" s="761"/>
      <c r="AB91" s="761"/>
    </row>
    <row r="92" spans="2:28" ht="16.5">
      <c r="B92" s="761"/>
      <c r="C92" s="761"/>
      <c r="D92" s="761"/>
      <c r="E92" s="761"/>
      <c r="F92" s="761"/>
      <c r="G92" s="761"/>
      <c r="H92" s="761"/>
      <c r="I92" s="761"/>
      <c r="J92" s="761"/>
      <c r="K92" s="761"/>
      <c r="L92" s="761"/>
      <c r="M92" s="761"/>
      <c r="N92" s="761"/>
      <c r="O92" s="761"/>
      <c r="P92" s="761"/>
      <c r="Q92" s="761"/>
      <c r="R92" s="761"/>
      <c r="S92" s="761"/>
      <c r="T92" s="761"/>
      <c r="U92" s="761"/>
      <c r="V92" s="761"/>
      <c r="W92" s="761"/>
      <c r="X92" s="761"/>
      <c r="Y92" s="761"/>
      <c r="Z92" s="761"/>
      <c r="AA92" s="761"/>
      <c r="AB92" s="761"/>
    </row>
    <row r="93" spans="2:28" ht="16.5">
      <c r="B93" s="761"/>
      <c r="C93" s="761"/>
      <c r="D93" s="761"/>
      <c r="E93" s="761"/>
      <c r="F93" s="761"/>
      <c r="G93" s="761"/>
      <c r="H93" s="761"/>
      <c r="I93" s="761"/>
      <c r="J93" s="761"/>
      <c r="K93" s="761"/>
      <c r="L93" s="761"/>
      <c r="M93" s="761"/>
      <c r="N93" s="761"/>
      <c r="O93" s="761"/>
      <c r="P93" s="761"/>
      <c r="Q93" s="761"/>
      <c r="R93" s="761"/>
      <c r="S93" s="761"/>
      <c r="T93" s="761"/>
      <c r="U93" s="761"/>
      <c r="V93" s="761"/>
      <c r="W93" s="761"/>
      <c r="X93" s="761"/>
      <c r="Y93" s="761"/>
      <c r="Z93" s="761"/>
      <c r="AA93" s="761"/>
      <c r="AB93" s="761"/>
    </row>
    <row r="94" spans="2:28" ht="16.5">
      <c r="B94" s="761"/>
      <c r="C94" s="761"/>
      <c r="D94" s="761"/>
      <c r="E94" s="761"/>
      <c r="F94" s="761"/>
      <c r="G94" s="761"/>
      <c r="H94" s="761"/>
      <c r="I94" s="761"/>
      <c r="J94" s="761"/>
      <c r="K94" s="761"/>
      <c r="L94" s="761"/>
      <c r="M94" s="761"/>
      <c r="N94" s="761"/>
      <c r="O94" s="761"/>
      <c r="P94" s="761"/>
      <c r="Q94" s="761"/>
      <c r="R94" s="761"/>
      <c r="S94" s="761"/>
      <c r="T94" s="761"/>
      <c r="U94" s="761"/>
      <c r="V94" s="761"/>
      <c r="W94" s="761"/>
      <c r="X94" s="761"/>
      <c r="Y94" s="761"/>
      <c r="Z94" s="761"/>
      <c r="AA94" s="761"/>
      <c r="AB94" s="761"/>
    </row>
    <row r="95" spans="2:28" ht="16.5">
      <c r="B95" s="761"/>
      <c r="C95" s="761"/>
      <c r="D95" s="761"/>
      <c r="E95" s="761"/>
      <c r="F95" s="761"/>
      <c r="G95" s="761"/>
      <c r="H95" s="761"/>
      <c r="I95" s="761"/>
      <c r="J95" s="761"/>
      <c r="K95" s="761"/>
      <c r="L95" s="761"/>
      <c r="M95" s="761"/>
      <c r="N95" s="761"/>
      <c r="O95" s="761"/>
      <c r="P95" s="761"/>
      <c r="Q95" s="761"/>
      <c r="R95" s="761"/>
      <c r="S95" s="761"/>
      <c r="T95" s="761"/>
      <c r="U95" s="761"/>
      <c r="V95" s="761"/>
      <c r="W95" s="761"/>
      <c r="X95" s="761"/>
      <c r="Y95" s="761"/>
      <c r="Z95" s="761"/>
      <c r="AA95" s="761"/>
      <c r="AB95" s="761"/>
    </row>
    <row r="96" spans="2:28" ht="16.5">
      <c r="B96" s="761"/>
      <c r="C96" s="761"/>
      <c r="D96" s="761"/>
      <c r="E96" s="761"/>
      <c r="F96" s="761"/>
      <c r="G96" s="761"/>
      <c r="H96" s="761"/>
      <c r="I96" s="761"/>
      <c r="J96" s="761"/>
      <c r="K96" s="761"/>
      <c r="L96" s="761"/>
      <c r="M96" s="761"/>
      <c r="N96" s="761"/>
      <c r="O96" s="761"/>
      <c r="P96" s="761"/>
      <c r="Q96" s="761"/>
      <c r="R96" s="761"/>
      <c r="S96" s="761"/>
      <c r="T96" s="761"/>
      <c r="U96" s="761"/>
      <c r="V96" s="761"/>
      <c r="W96" s="761"/>
      <c r="X96" s="761"/>
      <c r="Y96" s="761"/>
      <c r="Z96" s="761"/>
      <c r="AA96" s="761"/>
      <c r="AB96" s="761"/>
    </row>
    <row r="97" spans="14:28" ht="16.5">
      <c r="N97" s="761"/>
      <c r="O97" s="761"/>
      <c r="P97" s="761"/>
      <c r="Q97" s="761"/>
      <c r="R97" s="761"/>
      <c r="S97" s="761"/>
      <c r="T97" s="761"/>
      <c r="U97" s="761"/>
      <c r="V97" s="761"/>
      <c r="W97" s="761"/>
      <c r="X97" s="761"/>
      <c r="Y97" s="761"/>
      <c r="Z97" s="761"/>
      <c r="AA97" s="761"/>
      <c r="AB97" s="761"/>
    </row>
    <row r="98" spans="14:28" ht="16.5">
      <c r="N98" s="761"/>
      <c r="O98" s="761"/>
      <c r="P98" s="761"/>
      <c r="Q98" s="761"/>
      <c r="R98" s="761"/>
      <c r="S98" s="761"/>
      <c r="T98" s="761"/>
      <c r="U98" s="761"/>
      <c r="V98" s="761"/>
      <c r="W98" s="761"/>
      <c r="X98" s="761"/>
      <c r="Y98" s="761"/>
      <c r="Z98" s="761"/>
      <c r="AA98" s="761"/>
      <c r="AB98" s="761"/>
    </row>
    <row r="99" spans="14:28" ht="16.5">
      <c r="N99" s="761"/>
      <c r="O99" s="761"/>
      <c r="P99" s="761"/>
      <c r="Q99" s="761"/>
      <c r="R99" s="761"/>
      <c r="S99" s="761"/>
      <c r="T99" s="761"/>
      <c r="U99" s="761"/>
      <c r="V99" s="761"/>
      <c r="W99" s="761"/>
      <c r="X99" s="761"/>
      <c r="Y99" s="761"/>
      <c r="Z99" s="761"/>
      <c r="AA99" s="761"/>
      <c r="AB99" s="761"/>
    </row>
    <row r="100" spans="14:28" ht="16.5">
      <c r="N100" s="761"/>
      <c r="O100" s="761"/>
      <c r="P100" s="761"/>
      <c r="Q100" s="761"/>
      <c r="R100" s="761"/>
      <c r="S100" s="761"/>
      <c r="T100" s="761"/>
      <c r="U100" s="761"/>
      <c r="V100" s="761"/>
      <c r="W100" s="761"/>
      <c r="X100" s="761"/>
      <c r="Y100" s="761"/>
      <c r="Z100" s="761"/>
      <c r="AA100" s="761"/>
      <c r="AB100" s="761"/>
    </row>
    <row r="101" spans="14:28" ht="16.5">
      <c r="N101" s="761"/>
      <c r="O101" s="761"/>
      <c r="P101" s="761"/>
      <c r="Q101" s="761"/>
      <c r="R101" s="761"/>
      <c r="S101" s="761"/>
      <c r="T101" s="761"/>
      <c r="U101" s="761"/>
      <c r="V101" s="761"/>
      <c r="W101" s="761"/>
      <c r="X101" s="761"/>
      <c r="Y101" s="761"/>
      <c r="Z101" s="761"/>
      <c r="AA101" s="761"/>
      <c r="AB101" s="761"/>
    </row>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spans="2:13" ht="13.5" hidden="1">
      <c r="B201" s="628"/>
      <c r="C201" s="628"/>
      <c r="D201" s="628"/>
      <c r="E201" s="628"/>
      <c r="F201" s="628"/>
      <c r="G201" s="628"/>
      <c r="H201" s="628"/>
      <c r="I201" s="628"/>
      <c r="J201" s="628"/>
      <c r="K201" s="628"/>
      <c r="L201" s="628"/>
      <c r="M201" s="628"/>
    </row>
    <row r="202" spans="2:13" ht="13.5" hidden="1">
      <c r="B202" s="628"/>
      <c r="C202" s="628"/>
      <c r="D202" s="628"/>
      <c r="E202" s="628"/>
      <c r="F202" s="628"/>
      <c r="G202" s="628"/>
      <c r="H202" s="628"/>
      <c r="I202" s="628"/>
      <c r="J202" s="628"/>
      <c r="K202" s="628"/>
      <c r="L202" s="628"/>
      <c r="M202" s="628"/>
    </row>
    <row r="203" spans="2:13" ht="13.5" hidden="1">
      <c r="B203" s="628"/>
      <c r="C203" s="628"/>
      <c r="D203" s="628"/>
      <c r="E203" s="628"/>
      <c r="F203" s="628"/>
      <c r="G203" s="628"/>
      <c r="H203" s="628"/>
      <c r="I203" s="628"/>
      <c r="J203" s="628"/>
      <c r="K203" s="628"/>
      <c r="L203" s="628"/>
      <c r="M203" s="628"/>
    </row>
    <row r="204" spans="2:13" ht="13.5" hidden="1">
      <c r="B204" s="628"/>
      <c r="C204" s="628"/>
      <c r="D204" s="628"/>
      <c r="E204" s="628"/>
      <c r="F204" s="628"/>
      <c r="G204" s="628"/>
      <c r="H204" s="628"/>
      <c r="I204" s="628"/>
      <c r="J204" s="628"/>
      <c r="K204" s="628"/>
      <c r="L204" s="628"/>
      <c r="M204" s="628"/>
    </row>
    <row r="205" spans="2:13" ht="13.5" hidden="1">
      <c r="B205" s="628"/>
      <c r="C205" s="628"/>
      <c r="D205" s="628"/>
      <c r="E205" s="628"/>
      <c r="F205" s="628"/>
      <c r="G205" s="628"/>
      <c r="H205" s="628"/>
      <c r="I205" s="628"/>
      <c r="J205" s="628"/>
      <c r="K205" s="628"/>
      <c r="L205" s="628"/>
      <c r="M205" s="628"/>
    </row>
    <row r="206" s="628" customFormat="1" ht="13.5" hidden="1"/>
    <row r="207" s="628" customFormat="1" ht="13.5" hidden="1"/>
    <row r="208" s="628" customFormat="1" ht="13.5" hidden="1"/>
    <row r="209" s="628" customFormat="1" ht="13.5" hidden="1"/>
    <row r="210" s="628" customFormat="1" ht="13.5" hidden="1"/>
    <row r="211" spans="110:209" s="628" customFormat="1" ht="13.5" hidden="1">
      <c r="DF211" s="762"/>
      <c r="DG211" s="762"/>
      <c r="DH211" s="762"/>
      <c r="DI211" s="762"/>
      <c r="DJ211" s="762"/>
      <c r="DK211" s="762"/>
      <c r="DL211" s="762"/>
      <c r="DM211" s="762"/>
      <c r="DN211" s="762"/>
      <c r="DO211" s="762"/>
      <c r="DP211" s="762"/>
      <c r="DQ211" s="762"/>
      <c r="DR211" s="762"/>
      <c r="DS211" s="762"/>
      <c r="DT211" s="762"/>
      <c r="DU211" s="762"/>
      <c r="DV211" s="762"/>
      <c r="DW211" s="762"/>
      <c r="DX211" s="762"/>
      <c r="DY211" s="762"/>
      <c r="DZ211" s="762"/>
      <c r="EA211" s="762"/>
      <c r="EB211" s="762"/>
      <c r="EC211" s="762"/>
      <c r="ED211" s="762"/>
      <c r="EE211" s="762"/>
      <c r="EF211" s="762"/>
      <c r="EG211" s="762"/>
      <c r="EH211" s="762"/>
      <c r="EI211" s="762"/>
      <c r="EJ211" s="762"/>
      <c r="EK211" s="762"/>
      <c r="EL211" s="762"/>
      <c r="EM211" s="762"/>
      <c r="EN211" s="762"/>
      <c r="EO211" s="762"/>
      <c r="EP211" s="762"/>
      <c r="EQ211" s="762"/>
      <c r="ER211" s="762"/>
      <c r="ES211" s="762"/>
      <c r="ET211" s="762"/>
      <c r="EU211" s="762"/>
      <c r="EV211" s="762"/>
      <c r="EW211" s="762"/>
      <c r="EX211" s="762"/>
      <c r="EY211" s="762"/>
      <c r="EZ211" s="762"/>
      <c r="FA211" s="762"/>
      <c r="FB211" s="762"/>
      <c r="FC211" s="762"/>
      <c r="FD211" s="762"/>
      <c r="FE211" s="762"/>
      <c r="FF211" s="762"/>
      <c r="FG211" s="762"/>
      <c r="FH211" s="762"/>
      <c r="FI211" s="762"/>
      <c r="FJ211" s="762"/>
      <c r="FK211" s="762"/>
      <c r="FL211" s="762"/>
      <c r="FM211" s="762"/>
      <c r="FN211" s="762"/>
      <c r="FO211" s="762"/>
      <c r="FP211" s="762"/>
      <c r="FQ211" s="762"/>
      <c r="FR211" s="762"/>
      <c r="FS211" s="762"/>
      <c r="FT211" s="762"/>
      <c r="FU211" s="762"/>
      <c r="FV211" s="762"/>
      <c r="FW211" s="762"/>
      <c r="FX211" s="762"/>
      <c r="FY211" s="762"/>
      <c r="FZ211" s="762"/>
      <c r="GA211" s="762"/>
      <c r="GB211" s="762"/>
      <c r="GC211" s="762"/>
      <c r="GD211" s="762"/>
      <c r="GE211" s="762"/>
      <c r="GF211" s="762"/>
      <c r="GG211" s="762"/>
      <c r="GH211" s="762"/>
      <c r="GI211" s="762"/>
      <c r="GJ211" s="762"/>
      <c r="GK211" s="762"/>
      <c r="GL211" s="762"/>
      <c r="GM211" s="762"/>
      <c r="GN211" s="762"/>
      <c r="GO211" s="762"/>
      <c r="GP211" s="762"/>
      <c r="GQ211" s="762"/>
      <c r="GR211" s="762"/>
      <c r="GS211" s="762"/>
      <c r="GT211" s="762"/>
      <c r="GU211" s="762"/>
      <c r="GV211" s="762"/>
      <c r="GW211" s="762"/>
      <c r="GX211" s="762"/>
      <c r="GY211" s="762"/>
      <c r="GZ211" s="762"/>
      <c r="HA211" s="762"/>
    </row>
    <row r="212" spans="110:209" s="628" customFormat="1" ht="13.5" hidden="1">
      <c r="DF212" s="762"/>
      <c r="DG212" s="762"/>
      <c r="DH212" s="762"/>
      <c r="DI212" s="762"/>
      <c r="DJ212" s="762"/>
      <c r="DK212" s="762"/>
      <c r="DL212" s="762"/>
      <c r="DM212" s="762"/>
      <c r="DN212" s="762"/>
      <c r="DO212" s="762"/>
      <c r="DP212" s="762"/>
      <c r="DQ212" s="762"/>
      <c r="DR212" s="762"/>
      <c r="DS212" s="762"/>
      <c r="DT212" s="762"/>
      <c r="DU212" s="762"/>
      <c r="DV212" s="762"/>
      <c r="DW212" s="762"/>
      <c r="DX212" s="762"/>
      <c r="DY212" s="762"/>
      <c r="DZ212" s="762"/>
      <c r="EA212" s="762"/>
      <c r="EB212" s="762"/>
      <c r="EC212" s="762"/>
      <c r="ED212" s="762"/>
      <c r="EE212" s="762"/>
      <c r="EF212" s="762"/>
      <c r="EG212" s="762"/>
      <c r="EH212" s="762"/>
      <c r="EI212" s="762"/>
      <c r="EJ212" s="762"/>
      <c r="EK212" s="762"/>
      <c r="EL212" s="762"/>
      <c r="EM212" s="762"/>
      <c r="EN212" s="762"/>
      <c r="EO212" s="762"/>
      <c r="EP212" s="762"/>
      <c r="EQ212" s="762"/>
      <c r="ER212" s="762"/>
      <c r="ES212" s="762"/>
      <c r="ET212" s="762"/>
      <c r="EU212" s="762"/>
      <c r="EV212" s="762"/>
      <c r="EW212" s="762"/>
      <c r="EX212" s="762"/>
      <c r="EY212" s="762"/>
      <c r="EZ212" s="762"/>
      <c r="FA212" s="762"/>
      <c r="FB212" s="762"/>
      <c r="FC212" s="762"/>
      <c r="FD212" s="762"/>
      <c r="FE212" s="762"/>
      <c r="FF212" s="762"/>
      <c r="FG212" s="762"/>
      <c r="FH212" s="762"/>
      <c r="FI212" s="762"/>
      <c r="FJ212" s="762"/>
      <c r="FK212" s="762"/>
      <c r="FL212" s="762"/>
      <c r="FM212" s="762"/>
      <c r="FN212" s="762"/>
      <c r="FO212" s="762"/>
      <c r="FP212" s="762"/>
      <c r="FQ212" s="762"/>
      <c r="FR212" s="762"/>
      <c r="FS212" s="762"/>
      <c r="FT212" s="762"/>
      <c r="FU212" s="762"/>
      <c r="FV212" s="762"/>
      <c r="FW212" s="762"/>
      <c r="FX212" s="762"/>
      <c r="FY212" s="762"/>
      <c r="FZ212" s="762"/>
      <c r="GA212" s="762"/>
      <c r="GB212" s="762"/>
      <c r="GC212" s="762"/>
      <c r="GD212" s="762"/>
      <c r="GE212" s="762"/>
      <c r="GF212" s="762"/>
      <c r="GG212" s="762"/>
      <c r="GH212" s="762"/>
      <c r="GI212" s="762"/>
      <c r="GJ212" s="762"/>
      <c r="GK212" s="762"/>
      <c r="GL212" s="762"/>
      <c r="GM212" s="762"/>
      <c r="GN212" s="762"/>
      <c r="GO212" s="762"/>
      <c r="GP212" s="762"/>
      <c r="GQ212" s="762"/>
      <c r="GR212" s="762"/>
      <c r="GS212" s="762"/>
      <c r="GT212" s="762"/>
      <c r="GU212" s="762"/>
      <c r="GV212" s="762"/>
      <c r="GW212" s="762"/>
      <c r="GX212" s="762"/>
      <c r="GY212" s="762"/>
      <c r="GZ212" s="762"/>
      <c r="HA212" s="762"/>
    </row>
    <row r="213" spans="110:209" s="628" customFormat="1" ht="13.5" hidden="1">
      <c r="DF213" s="762"/>
      <c r="DG213" s="762"/>
      <c r="DH213" s="762"/>
      <c r="DI213" s="762"/>
      <c r="DJ213" s="762"/>
      <c r="DK213" s="762"/>
      <c r="DL213" s="762"/>
      <c r="DM213" s="762"/>
      <c r="DN213" s="762"/>
      <c r="DO213" s="762"/>
      <c r="DP213" s="762"/>
      <c r="DQ213" s="762"/>
      <c r="DR213" s="762"/>
      <c r="DS213" s="762"/>
      <c r="DT213" s="762"/>
      <c r="DU213" s="762"/>
      <c r="DV213" s="762"/>
      <c r="DW213" s="762"/>
      <c r="DX213" s="762"/>
      <c r="DY213" s="762"/>
      <c r="DZ213" s="762"/>
      <c r="EA213" s="762"/>
      <c r="EB213" s="762"/>
      <c r="EC213" s="762"/>
      <c r="ED213" s="762"/>
      <c r="EE213" s="762"/>
      <c r="EF213" s="762"/>
      <c r="EG213" s="762"/>
      <c r="EH213" s="762"/>
      <c r="EI213" s="762"/>
      <c r="EJ213" s="762"/>
      <c r="EK213" s="762"/>
      <c r="EL213" s="762"/>
      <c r="EM213" s="762"/>
      <c r="EN213" s="762"/>
      <c r="EO213" s="762"/>
      <c r="EP213" s="762"/>
      <c r="EQ213" s="762"/>
      <c r="ER213" s="762"/>
      <c r="ES213" s="762"/>
      <c r="ET213" s="762"/>
      <c r="EU213" s="762"/>
      <c r="EV213" s="762"/>
      <c r="EW213" s="762"/>
      <c r="EX213" s="762"/>
      <c r="EY213" s="762"/>
      <c r="EZ213" s="762"/>
      <c r="FA213" s="762"/>
      <c r="FB213" s="762"/>
      <c r="FC213" s="762"/>
      <c r="FD213" s="762"/>
      <c r="FE213" s="762"/>
      <c r="FF213" s="762"/>
      <c r="FG213" s="762"/>
      <c r="FH213" s="762"/>
      <c r="FI213" s="762"/>
      <c r="FJ213" s="762"/>
      <c r="FK213" s="762"/>
      <c r="FL213" s="762"/>
      <c r="FM213" s="762"/>
      <c r="FN213" s="762"/>
      <c r="FO213" s="762"/>
      <c r="FP213" s="762"/>
      <c r="FQ213" s="762"/>
      <c r="FR213" s="762"/>
      <c r="FS213" s="762"/>
      <c r="FT213" s="762"/>
      <c r="FU213" s="762"/>
      <c r="FV213" s="762"/>
      <c r="FW213" s="762"/>
      <c r="FX213" s="762"/>
      <c r="FY213" s="762"/>
      <c r="FZ213" s="762"/>
      <c r="GA213" s="762"/>
      <c r="GB213" s="762"/>
      <c r="GC213" s="762"/>
      <c r="GD213" s="762"/>
      <c r="GE213" s="762"/>
      <c r="GF213" s="762"/>
      <c r="GG213" s="762"/>
      <c r="GH213" s="762"/>
      <c r="GI213" s="762"/>
      <c r="GJ213" s="762"/>
      <c r="GK213" s="762"/>
      <c r="GL213" s="762"/>
      <c r="GM213" s="762"/>
      <c r="GN213" s="762"/>
      <c r="GO213" s="762"/>
      <c r="GP213" s="762"/>
      <c r="GQ213" s="762"/>
      <c r="GR213" s="762"/>
      <c r="GS213" s="762"/>
      <c r="GT213" s="762"/>
      <c r="GU213" s="762"/>
      <c r="GV213" s="762"/>
      <c r="GW213" s="762"/>
      <c r="GX213" s="762"/>
      <c r="GY213" s="762"/>
      <c r="GZ213" s="762"/>
      <c r="HA213" s="762"/>
    </row>
    <row r="214" spans="110:209" s="628" customFormat="1" ht="13.5" hidden="1">
      <c r="DF214" s="762"/>
      <c r="DG214" s="762"/>
      <c r="DH214" s="762"/>
      <c r="DI214" s="762"/>
      <c r="DJ214" s="762"/>
      <c r="DK214" s="762"/>
      <c r="DL214" s="762"/>
      <c r="DM214" s="762"/>
      <c r="DN214" s="762"/>
      <c r="DO214" s="762"/>
      <c r="DP214" s="762"/>
      <c r="DQ214" s="762"/>
      <c r="DR214" s="762"/>
      <c r="DS214" s="762"/>
      <c r="DT214" s="762"/>
      <c r="DU214" s="762"/>
      <c r="DV214" s="762"/>
      <c r="DW214" s="762"/>
      <c r="DX214" s="762"/>
      <c r="DY214" s="762"/>
      <c r="DZ214" s="762"/>
      <c r="EA214" s="762"/>
      <c r="EB214" s="762"/>
      <c r="EC214" s="762"/>
      <c r="ED214" s="762"/>
      <c r="EE214" s="762"/>
      <c r="EF214" s="762"/>
      <c r="EG214" s="762"/>
      <c r="EH214" s="762"/>
      <c r="EI214" s="762"/>
      <c r="EJ214" s="762"/>
      <c r="EK214" s="762"/>
      <c r="EL214" s="762"/>
      <c r="EM214" s="762"/>
      <c r="EN214" s="762"/>
      <c r="EO214" s="762"/>
      <c r="EP214" s="762"/>
      <c r="EQ214" s="762"/>
      <c r="ER214" s="762"/>
      <c r="ES214" s="762"/>
      <c r="ET214" s="762"/>
      <c r="EU214" s="762"/>
      <c r="EV214" s="762"/>
      <c r="EW214" s="762"/>
      <c r="EX214" s="762"/>
      <c r="EY214" s="762"/>
      <c r="EZ214" s="762"/>
      <c r="FA214" s="762"/>
      <c r="FB214" s="762"/>
      <c r="FC214" s="762"/>
      <c r="FD214" s="762"/>
      <c r="FE214" s="762"/>
      <c r="FF214" s="762"/>
      <c r="FG214" s="762"/>
      <c r="FH214" s="762"/>
      <c r="FI214" s="762"/>
      <c r="FJ214" s="762"/>
      <c r="FK214" s="762"/>
      <c r="FL214" s="762"/>
      <c r="FM214" s="762"/>
      <c r="FN214" s="762"/>
      <c r="FO214" s="762"/>
      <c r="FP214" s="762"/>
      <c r="FQ214" s="762"/>
      <c r="FR214" s="762"/>
      <c r="FS214" s="762"/>
      <c r="FT214" s="762"/>
      <c r="FU214" s="762"/>
      <c r="FV214" s="762"/>
      <c r="FW214" s="762"/>
      <c r="FX214" s="762"/>
      <c r="FY214" s="762"/>
      <c r="FZ214" s="762"/>
      <c r="GA214" s="762"/>
      <c r="GB214" s="762"/>
      <c r="GC214" s="762"/>
      <c r="GD214" s="762"/>
      <c r="GE214" s="762"/>
      <c r="GF214" s="762"/>
      <c r="GG214" s="762"/>
      <c r="GH214" s="762"/>
      <c r="GI214" s="762"/>
      <c r="GJ214" s="762"/>
      <c r="GK214" s="762"/>
      <c r="GL214" s="762"/>
      <c r="GM214" s="762"/>
      <c r="GN214" s="762"/>
      <c r="GO214" s="762"/>
      <c r="GP214" s="762"/>
      <c r="GQ214" s="762"/>
      <c r="GR214" s="762"/>
      <c r="GS214" s="762"/>
      <c r="GT214" s="762"/>
      <c r="GU214" s="762"/>
      <c r="GV214" s="762"/>
      <c r="GW214" s="762"/>
      <c r="GX214" s="762"/>
      <c r="GY214" s="762"/>
      <c r="GZ214" s="762"/>
      <c r="HA214" s="762"/>
    </row>
    <row r="215" spans="110:209" s="628" customFormat="1" ht="13.5" hidden="1">
      <c r="DF215" s="762"/>
      <c r="DG215" s="762"/>
      <c r="DH215" s="762"/>
      <c r="DI215" s="762"/>
      <c r="DJ215" s="762"/>
      <c r="DK215" s="762"/>
      <c r="DL215" s="762"/>
      <c r="DM215" s="762"/>
      <c r="DN215" s="762"/>
      <c r="DO215" s="762"/>
      <c r="DP215" s="762"/>
      <c r="DQ215" s="762"/>
      <c r="DR215" s="762"/>
      <c r="DS215" s="762"/>
      <c r="DT215" s="762"/>
      <c r="DU215" s="762"/>
      <c r="DV215" s="762"/>
      <c r="DW215" s="762"/>
      <c r="DX215" s="762"/>
      <c r="DY215" s="762"/>
      <c r="DZ215" s="762"/>
      <c r="EA215" s="762"/>
      <c r="EB215" s="762"/>
      <c r="EC215" s="762"/>
      <c r="ED215" s="762"/>
      <c r="EE215" s="762"/>
      <c r="EF215" s="762"/>
      <c r="EG215" s="762"/>
      <c r="EH215" s="762"/>
      <c r="EI215" s="762"/>
      <c r="EJ215" s="762"/>
      <c r="EK215" s="762"/>
      <c r="EL215" s="762"/>
      <c r="EM215" s="762"/>
      <c r="EN215" s="762"/>
      <c r="EO215" s="762"/>
      <c r="EP215" s="762"/>
      <c r="EQ215" s="762"/>
      <c r="ER215" s="762"/>
      <c r="ES215" s="762"/>
      <c r="ET215" s="762"/>
      <c r="EU215" s="762"/>
      <c r="EV215" s="762"/>
      <c r="EW215" s="762"/>
      <c r="EX215" s="762"/>
      <c r="EY215" s="762"/>
      <c r="EZ215" s="762"/>
      <c r="FA215" s="762"/>
      <c r="FB215" s="762"/>
      <c r="FC215" s="762"/>
      <c r="FD215" s="762"/>
      <c r="FE215" s="762"/>
      <c r="FF215" s="762"/>
      <c r="FG215" s="762"/>
      <c r="FH215" s="762"/>
      <c r="FI215" s="762"/>
      <c r="FJ215" s="762"/>
      <c r="FK215" s="762"/>
      <c r="FL215" s="762"/>
      <c r="FM215" s="762"/>
      <c r="FN215" s="762"/>
      <c r="FO215" s="762"/>
      <c r="FP215" s="762"/>
      <c r="FQ215" s="762"/>
      <c r="FR215" s="762"/>
      <c r="FS215" s="762"/>
      <c r="FT215" s="762"/>
      <c r="FU215" s="762"/>
      <c r="FV215" s="762"/>
      <c r="FW215" s="762"/>
      <c r="FX215" s="762"/>
      <c r="FY215" s="762"/>
      <c r="FZ215" s="762"/>
      <c r="GA215" s="762"/>
      <c r="GB215" s="762"/>
      <c r="GC215" s="762"/>
      <c r="GD215" s="762"/>
      <c r="GE215" s="762"/>
      <c r="GF215" s="762"/>
      <c r="GG215" s="762"/>
      <c r="GH215" s="762"/>
      <c r="GI215" s="762"/>
      <c r="GJ215" s="762"/>
      <c r="GK215" s="762"/>
      <c r="GL215" s="762"/>
      <c r="GM215" s="762"/>
      <c r="GN215" s="762"/>
      <c r="GO215" s="762"/>
      <c r="GP215" s="762"/>
      <c r="GQ215" s="762"/>
      <c r="GR215" s="762"/>
      <c r="GS215" s="762"/>
      <c r="GT215" s="762"/>
      <c r="GU215" s="762"/>
      <c r="GV215" s="762"/>
      <c r="GW215" s="762"/>
      <c r="GX215" s="762"/>
      <c r="GY215" s="762"/>
      <c r="GZ215" s="762"/>
      <c r="HA215" s="762"/>
    </row>
    <row r="216" spans="110:209" s="628" customFormat="1" ht="13.5" hidden="1">
      <c r="DF216" s="762"/>
      <c r="DG216" s="762"/>
      <c r="DH216" s="762"/>
      <c r="DI216" s="762"/>
      <c r="DJ216" s="762"/>
      <c r="DK216" s="762"/>
      <c r="DL216" s="762"/>
      <c r="DM216" s="762"/>
      <c r="DN216" s="762"/>
      <c r="DO216" s="762"/>
      <c r="DP216" s="762"/>
      <c r="DQ216" s="762"/>
      <c r="DR216" s="762"/>
      <c r="DS216" s="762"/>
      <c r="DT216" s="762"/>
      <c r="DU216" s="762"/>
      <c r="DV216" s="762"/>
      <c r="DW216" s="762"/>
      <c r="DX216" s="762"/>
      <c r="DY216" s="762"/>
      <c r="DZ216" s="762"/>
      <c r="EA216" s="762"/>
      <c r="EB216" s="762"/>
      <c r="EC216" s="762"/>
      <c r="ED216" s="762"/>
      <c r="EE216" s="762"/>
      <c r="EF216" s="762"/>
      <c r="EG216" s="762"/>
      <c r="EH216" s="762"/>
      <c r="EI216" s="762"/>
      <c r="EJ216" s="762"/>
      <c r="EK216" s="762"/>
      <c r="EL216" s="762"/>
      <c r="EM216" s="762"/>
      <c r="EN216" s="762"/>
      <c r="EO216" s="762"/>
      <c r="EP216" s="762"/>
      <c r="EQ216" s="762"/>
      <c r="ER216" s="762"/>
      <c r="ES216" s="762"/>
      <c r="ET216" s="762"/>
      <c r="EU216" s="762"/>
      <c r="EV216" s="762"/>
      <c r="EW216" s="762"/>
      <c r="EX216" s="762"/>
      <c r="EY216" s="762"/>
      <c r="EZ216" s="762"/>
      <c r="FA216" s="762"/>
      <c r="FB216" s="762"/>
      <c r="FC216" s="762"/>
      <c r="FD216" s="762"/>
      <c r="FE216" s="762"/>
      <c r="FF216" s="762"/>
      <c r="FG216" s="762"/>
      <c r="FH216" s="762"/>
      <c r="FI216" s="762"/>
      <c r="FJ216" s="762"/>
      <c r="FK216" s="762"/>
      <c r="FL216" s="762"/>
      <c r="FM216" s="762"/>
      <c r="FN216" s="762"/>
      <c r="FO216" s="762"/>
      <c r="FP216" s="762"/>
      <c r="FQ216" s="762"/>
      <c r="FR216" s="762"/>
      <c r="FS216" s="762"/>
      <c r="FT216" s="762"/>
      <c r="FU216" s="762"/>
      <c r="FV216" s="762"/>
      <c r="FW216" s="762"/>
      <c r="FX216" s="762"/>
      <c r="FY216" s="762"/>
      <c r="FZ216" s="762"/>
      <c r="GA216" s="762"/>
      <c r="GB216" s="762"/>
      <c r="GC216" s="762"/>
      <c r="GD216" s="762"/>
      <c r="GE216" s="762"/>
      <c r="GF216" s="762"/>
      <c r="GG216" s="762"/>
      <c r="GH216" s="762"/>
      <c r="GI216" s="762"/>
      <c r="GJ216" s="762"/>
      <c r="GK216" s="762"/>
      <c r="GL216" s="762"/>
      <c r="GM216" s="762"/>
      <c r="GN216" s="762"/>
      <c r="GO216" s="762"/>
      <c r="GP216" s="762"/>
      <c r="GQ216" s="762"/>
      <c r="GR216" s="762"/>
      <c r="GS216" s="762"/>
      <c r="GT216" s="762"/>
      <c r="GU216" s="762"/>
      <c r="GV216" s="762"/>
      <c r="GW216" s="762"/>
      <c r="GX216" s="762"/>
      <c r="GY216" s="762"/>
      <c r="GZ216" s="762"/>
      <c r="HA216" s="762"/>
    </row>
    <row r="217" spans="110:209" s="628" customFormat="1" ht="18.75" hidden="1">
      <c r="DF217" s="762"/>
      <c r="DG217" s="762"/>
      <c r="DH217" s="762"/>
      <c r="DI217" s="762"/>
      <c r="DJ217" s="763"/>
      <c r="DK217" s="764"/>
      <c r="DL217" s="764"/>
      <c r="DM217" s="764"/>
      <c r="DN217" s="764"/>
      <c r="DO217" s="764"/>
      <c r="DP217" s="764"/>
      <c r="DQ217" s="762"/>
      <c r="DR217" s="762"/>
      <c r="DS217" s="762"/>
      <c r="DT217" s="762"/>
      <c r="DU217" s="762"/>
      <c r="DV217" s="762"/>
      <c r="DW217" s="762"/>
      <c r="DX217" s="762"/>
      <c r="DY217" s="762"/>
      <c r="DZ217" s="762"/>
      <c r="EA217" s="762"/>
      <c r="EB217" s="762"/>
      <c r="EC217" s="762"/>
      <c r="ED217" s="762"/>
      <c r="EE217" s="762"/>
      <c r="EF217" s="762"/>
      <c r="EG217" s="762"/>
      <c r="EH217" s="762"/>
      <c r="EI217" s="762"/>
      <c r="EJ217" s="762"/>
      <c r="EK217" s="762"/>
      <c r="EL217" s="762"/>
      <c r="EM217" s="762"/>
      <c r="EN217" s="762"/>
      <c r="EO217" s="762"/>
      <c r="EP217" s="762"/>
      <c r="EQ217" s="762"/>
      <c r="ER217" s="762"/>
      <c r="ES217" s="762"/>
      <c r="ET217" s="762"/>
      <c r="EU217" s="762"/>
      <c r="EV217" s="762"/>
      <c r="EW217" s="762"/>
      <c r="EX217" s="762"/>
      <c r="EY217" s="762"/>
      <c r="EZ217" s="762"/>
      <c r="FA217" s="762"/>
      <c r="FB217" s="762"/>
      <c r="FC217" s="762"/>
      <c r="FD217" s="762"/>
      <c r="FE217" s="762"/>
      <c r="FF217" s="762"/>
      <c r="FG217" s="762"/>
      <c r="FH217" s="762"/>
      <c r="FI217" s="762"/>
      <c r="FJ217" s="762"/>
      <c r="FK217" s="762"/>
      <c r="FL217" s="762"/>
      <c r="FM217" s="762"/>
      <c r="FN217" s="762"/>
      <c r="FO217" s="762"/>
      <c r="FP217" s="762"/>
      <c r="FQ217" s="762"/>
      <c r="FR217" s="762"/>
      <c r="FS217" s="762"/>
      <c r="FT217" s="762"/>
      <c r="FU217" s="762"/>
      <c r="FV217" s="762"/>
      <c r="FW217" s="762"/>
      <c r="FX217" s="762"/>
      <c r="FY217" s="762"/>
      <c r="FZ217" s="762"/>
      <c r="GA217" s="762"/>
      <c r="GB217" s="762"/>
      <c r="GC217" s="762"/>
      <c r="GD217" s="762"/>
      <c r="GE217" s="762"/>
      <c r="GF217" s="762"/>
      <c r="GG217" s="762"/>
      <c r="GH217" s="762"/>
      <c r="GI217" s="762"/>
      <c r="GJ217" s="762"/>
      <c r="GK217" s="762"/>
      <c r="GL217" s="762"/>
      <c r="GM217" s="762"/>
      <c r="GN217" s="762"/>
      <c r="GO217" s="762"/>
      <c r="GP217" s="762"/>
      <c r="GQ217" s="762"/>
      <c r="GR217" s="762"/>
      <c r="GS217" s="762"/>
      <c r="GT217" s="762"/>
      <c r="GU217" s="762"/>
      <c r="GV217" s="762"/>
      <c r="GW217" s="762"/>
      <c r="GX217" s="762"/>
      <c r="GY217" s="762"/>
      <c r="GZ217" s="762"/>
      <c r="HA217" s="762"/>
    </row>
    <row r="218" spans="110:209" s="628" customFormat="1" ht="13.5" hidden="1">
      <c r="DF218" s="672"/>
      <c r="DG218" s="672"/>
      <c r="DH218" s="672"/>
      <c r="DI218" s="672"/>
      <c r="DJ218" s="672"/>
      <c r="DK218" s="672"/>
      <c r="DL218" s="672"/>
      <c r="DM218" s="672"/>
      <c r="DN218" s="672"/>
      <c r="DO218" s="762"/>
      <c r="DP218" s="762"/>
      <c r="DQ218" s="762"/>
      <c r="DR218" s="762"/>
      <c r="DS218" s="762"/>
      <c r="DT218" s="762"/>
      <c r="DU218" s="762"/>
      <c r="DV218" s="762"/>
      <c r="DW218" s="762"/>
      <c r="DX218" s="762"/>
      <c r="DY218" s="762"/>
      <c r="DZ218" s="762"/>
      <c r="EA218" s="762"/>
      <c r="EB218" s="762"/>
      <c r="EC218" s="762"/>
      <c r="ED218" s="762"/>
      <c r="EE218" s="762"/>
      <c r="EF218" s="762"/>
      <c r="EG218" s="762"/>
      <c r="EH218" s="762"/>
      <c r="EI218" s="762"/>
      <c r="EJ218" s="762"/>
      <c r="EK218" s="762"/>
      <c r="EL218" s="762"/>
      <c r="EM218" s="762"/>
      <c r="EN218" s="762"/>
      <c r="EO218" s="762"/>
      <c r="EP218" s="762"/>
      <c r="EQ218" s="762"/>
      <c r="ER218" s="762"/>
      <c r="ES218" s="762"/>
      <c r="ET218" s="762"/>
      <c r="EU218" s="762"/>
      <c r="EV218" s="762"/>
      <c r="EW218" s="762"/>
      <c r="EX218" s="762"/>
      <c r="EY218" s="762"/>
      <c r="EZ218" s="762"/>
      <c r="FA218" s="762"/>
      <c r="FB218" s="762"/>
      <c r="FC218" s="762"/>
      <c r="FD218" s="762"/>
      <c r="FE218" s="762"/>
      <c r="FF218" s="762"/>
      <c r="FG218" s="762"/>
      <c r="FH218" s="762"/>
      <c r="FI218" s="762"/>
      <c r="FJ218" s="762"/>
      <c r="FK218" s="762"/>
      <c r="FL218" s="762"/>
      <c r="FM218" s="762"/>
      <c r="FN218" s="762"/>
      <c r="FO218" s="762"/>
      <c r="FP218" s="762"/>
      <c r="FQ218" s="762"/>
      <c r="FR218" s="762"/>
      <c r="FS218" s="762"/>
      <c r="FT218" s="762"/>
      <c r="FU218" s="762"/>
      <c r="FV218" s="762"/>
      <c r="FW218" s="762"/>
      <c r="FX218" s="762"/>
      <c r="FY218" s="762"/>
      <c r="FZ218" s="762"/>
      <c r="GA218" s="762"/>
      <c r="GB218" s="762"/>
      <c r="GC218" s="762"/>
      <c r="GD218" s="762"/>
      <c r="GE218" s="762"/>
      <c r="GF218" s="762"/>
      <c r="GG218" s="762"/>
      <c r="GH218" s="762"/>
      <c r="GI218" s="762"/>
      <c r="GJ218" s="762"/>
      <c r="GK218" s="762"/>
      <c r="GL218" s="762"/>
      <c r="GM218" s="762"/>
      <c r="GN218" s="762"/>
      <c r="GO218" s="762"/>
      <c r="GP218" s="762"/>
      <c r="GQ218" s="762"/>
      <c r="GR218" s="762"/>
      <c r="GS218" s="762"/>
      <c r="GT218" s="762"/>
      <c r="GU218" s="762"/>
      <c r="GV218" s="762"/>
      <c r="GW218" s="762"/>
      <c r="GX218" s="762"/>
      <c r="GY218" s="762"/>
      <c r="GZ218" s="762"/>
      <c r="HA218" s="762"/>
    </row>
    <row r="219" s="628" customFormat="1" ht="13.5" hidden="1"/>
    <row r="220" s="628" customFormat="1" ht="13.5" hidden="1"/>
    <row r="221" s="628" customFormat="1" ht="13.5" hidden="1"/>
    <row r="222" s="628" customFormat="1" ht="13.5" hidden="1"/>
    <row r="223" spans="7:166" s="765" customFormat="1" ht="23.25" customHeight="1" hidden="1">
      <c r="G223" s="765">
        <v>1</v>
      </c>
      <c r="H223" s="765">
        <v>2</v>
      </c>
      <c r="I223" s="765">
        <v>3</v>
      </c>
      <c r="J223" s="765">
        <v>4</v>
      </c>
      <c r="K223" s="765">
        <v>5</v>
      </c>
      <c r="L223" s="765">
        <v>6</v>
      </c>
      <c r="M223" s="766">
        <v>7</v>
      </c>
      <c r="N223" s="766"/>
      <c r="O223" s="766"/>
      <c r="P223" s="766"/>
      <c r="Q223" s="766">
        <v>8</v>
      </c>
      <c r="R223" s="766">
        <v>9</v>
      </c>
      <c r="S223" s="766">
        <v>10</v>
      </c>
      <c r="T223" s="766">
        <v>11</v>
      </c>
      <c r="U223" s="766">
        <v>12</v>
      </c>
      <c r="V223" s="766">
        <v>13</v>
      </c>
      <c r="W223" s="766">
        <v>14</v>
      </c>
      <c r="X223" s="766">
        <v>15</v>
      </c>
      <c r="Y223" s="766">
        <v>16</v>
      </c>
      <c r="Z223" s="766">
        <v>17</v>
      </c>
      <c r="AA223" s="766">
        <v>18</v>
      </c>
      <c r="AB223" s="766">
        <v>19</v>
      </c>
      <c r="AC223" s="766">
        <v>20</v>
      </c>
      <c r="AD223" s="766">
        <v>21</v>
      </c>
      <c r="AE223" s="766">
        <v>22</v>
      </c>
      <c r="AF223" s="766">
        <v>23</v>
      </c>
      <c r="AG223" s="766">
        <v>24</v>
      </c>
      <c r="AH223" s="766">
        <v>25</v>
      </c>
      <c r="AI223" s="766">
        <v>26</v>
      </c>
      <c r="AJ223" s="766">
        <v>27</v>
      </c>
      <c r="AK223" s="766">
        <v>28</v>
      </c>
      <c r="AL223" s="766">
        <v>29</v>
      </c>
      <c r="AM223" s="766">
        <v>30</v>
      </c>
      <c r="AN223" s="766">
        <v>31</v>
      </c>
      <c r="AO223" s="766">
        <v>32</v>
      </c>
      <c r="AP223" s="766">
        <v>33</v>
      </c>
      <c r="AQ223" s="766">
        <v>34</v>
      </c>
      <c r="AR223" s="766">
        <v>35</v>
      </c>
      <c r="AS223" s="766">
        <v>36</v>
      </c>
      <c r="AT223" s="766">
        <v>37</v>
      </c>
      <c r="AU223" s="766">
        <v>38</v>
      </c>
      <c r="AV223" s="766">
        <v>39</v>
      </c>
      <c r="AW223" s="766">
        <v>40</v>
      </c>
      <c r="AX223" s="766">
        <v>41</v>
      </c>
      <c r="AY223" s="766">
        <v>42</v>
      </c>
      <c r="AZ223" s="766">
        <v>43</v>
      </c>
      <c r="BA223" s="766">
        <v>44</v>
      </c>
      <c r="BB223" s="766">
        <v>45</v>
      </c>
      <c r="BC223" s="766">
        <v>46</v>
      </c>
      <c r="BD223" s="766">
        <v>47</v>
      </c>
      <c r="BE223" s="766">
        <v>48</v>
      </c>
      <c r="BF223" s="766">
        <v>49</v>
      </c>
      <c r="BG223" s="766">
        <v>50</v>
      </c>
      <c r="BH223" s="766">
        <v>51</v>
      </c>
      <c r="BI223" s="766">
        <v>52</v>
      </c>
      <c r="BJ223" s="766">
        <v>53</v>
      </c>
      <c r="BK223" s="766">
        <v>54</v>
      </c>
      <c r="BL223" s="766">
        <v>55</v>
      </c>
      <c r="BM223" s="766">
        <v>56</v>
      </c>
      <c r="BN223" s="766">
        <v>57</v>
      </c>
      <c r="BO223" s="766">
        <v>58</v>
      </c>
      <c r="BP223" s="766">
        <v>59</v>
      </c>
      <c r="BQ223" s="766">
        <v>60</v>
      </c>
      <c r="BR223" s="766">
        <v>61</v>
      </c>
      <c r="BS223" s="766">
        <v>62</v>
      </c>
      <c r="BT223" s="766">
        <v>63</v>
      </c>
      <c r="BU223" s="766">
        <v>64</v>
      </c>
      <c r="BV223" s="766">
        <v>65</v>
      </c>
      <c r="BW223" s="766">
        <v>66</v>
      </c>
      <c r="BX223" s="766">
        <v>67</v>
      </c>
      <c r="BY223" s="766">
        <v>68</v>
      </c>
      <c r="BZ223" s="766">
        <v>69</v>
      </c>
      <c r="CA223" s="766">
        <v>70</v>
      </c>
      <c r="CB223" s="766">
        <v>71</v>
      </c>
      <c r="CC223" s="766">
        <v>72</v>
      </c>
      <c r="CD223" s="766">
        <v>73</v>
      </c>
      <c r="CE223" s="766">
        <v>74</v>
      </c>
      <c r="CF223" s="766">
        <v>75</v>
      </c>
      <c r="CG223" s="766">
        <v>76</v>
      </c>
      <c r="CH223" s="766">
        <v>77</v>
      </c>
      <c r="CI223" s="766">
        <v>78</v>
      </c>
      <c r="CJ223" s="766">
        <v>79</v>
      </c>
      <c r="CK223" s="766">
        <v>80</v>
      </c>
      <c r="CL223" s="766">
        <v>81</v>
      </c>
      <c r="CM223" s="766">
        <v>82</v>
      </c>
      <c r="CN223" s="766">
        <v>83</v>
      </c>
      <c r="CO223" s="766">
        <v>84</v>
      </c>
      <c r="CP223" s="766">
        <v>85</v>
      </c>
      <c r="CQ223" s="766">
        <v>86</v>
      </c>
      <c r="CR223" s="766">
        <v>87</v>
      </c>
      <c r="CS223" s="766">
        <v>88</v>
      </c>
      <c r="CT223" s="766">
        <v>89</v>
      </c>
      <c r="CU223" s="766">
        <v>90</v>
      </c>
      <c r="CV223" s="766">
        <v>91</v>
      </c>
      <c r="CW223" s="766">
        <v>92</v>
      </c>
      <c r="CX223" s="766">
        <v>93</v>
      </c>
      <c r="CY223" s="766">
        <v>94</v>
      </c>
      <c r="CZ223" s="766">
        <v>95</v>
      </c>
      <c r="DA223" s="766">
        <v>96</v>
      </c>
      <c r="DB223" s="766">
        <v>97</v>
      </c>
      <c r="DC223" s="766">
        <v>98</v>
      </c>
      <c r="DD223" s="766">
        <v>99</v>
      </c>
      <c r="DE223" s="766"/>
      <c r="DF223" s="766"/>
      <c r="DG223" s="766"/>
      <c r="DH223" s="766"/>
      <c r="DI223" s="766"/>
      <c r="DJ223" s="766"/>
      <c r="DK223" s="766"/>
      <c r="DL223" s="766"/>
      <c r="DM223" s="766"/>
      <c r="DN223" s="766"/>
      <c r="DO223" s="766"/>
      <c r="DP223" s="766"/>
      <c r="DQ223" s="766"/>
      <c r="DR223" s="766"/>
      <c r="DS223" s="766"/>
      <c r="DT223" s="766"/>
      <c r="DU223" s="766"/>
      <c r="DV223" s="766"/>
      <c r="DW223" s="766"/>
      <c r="DX223" s="766"/>
      <c r="DY223" s="766"/>
      <c r="DZ223" s="766"/>
      <c r="EA223" s="766"/>
      <c r="EB223" s="766"/>
      <c r="EC223" s="766"/>
      <c r="ED223" s="766"/>
      <c r="EE223" s="766"/>
      <c r="EF223" s="766"/>
      <c r="EG223" s="766"/>
      <c r="EH223" s="766"/>
      <c r="EI223" s="766"/>
      <c r="EJ223" s="766"/>
      <c r="EK223" s="766"/>
      <c r="EL223" s="766"/>
      <c r="EM223" s="766"/>
      <c r="EN223" s="766"/>
      <c r="EO223" s="766"/>
      <c r="EP223" s="766"/>
      <c r="EQ223" s="766"/>
      <c r="ER223" s="766"/>
      <c r="ES223" s="766"/>
      <c r="ET223" s="766"/>
      <c r="EU223" s="766"/>
      <c r="EV223" s="766"/>
      <c r="EW223" s="766"/>
      <c r="EX223" s="766"/>
      <c r="EY223" s="766"/>
      <c r="EZ223" s="766"/>
      <c r="FA223" s="766"/>
      <c r="FB223" s="766"/>
      <c r="FC223" s="766"/>
      <c r="FD223" s="766"/>
      <c r="FE223" s="766"/>
      <c r="FF223" s="766"/>
      <c r="FG223" s="766"/>
      <c r="FH223" s="766"/>
      <c r="FI223" s="766"/>
      <c r="FJ223" s="766"/>
    </row>
    <row r="224" spans="7:166" s="765" customFormat="1" ht="23.25" customHeight="1" hidden="1">
      <c r="G224" s="765" t="s">
        <v>611</v>
      </c>
      <c r="H224" s="766" t="s">
        <v>612</v>
      </c>
      <c r="I224" s="766" t="s">
        <v>613</v>
      </c>
      <c r="J224" s="766" t="s">
        <v>614</v>
      </c>
      <c r="K224" s="766" t="s">
        <v>615</v>
      </c>
      <c r="L224" s="766" t="s">
        <v>616</v>
      </c>
      <c r="M224" s="766" t="s">
        <v>617</v>
      </c>
      <c r="N224" s="766"/>
      <c r="O224" s="766"/>
      <c r="P224" s="766"/>
      <c r="Q224" s="766" t="s">
        <v>618</v>
      </c>
      <c r="R224" s="766" t="s">
        <v>619</v>
      </c>
      <c r="S224" s="766" t="s">
        <v>620</v>
      </c>
      <c r="T224" s="766" t="s">
        <v>621</v>
      </c>
      <c r="U224" s="766" t="s">
        <v>622</v>
      </c>
      <c r="V224" s="766" t="s">
        <v>623</v>
      </c>
      <c r="W224" s="766" t="s">
        <v>624</v>
      </c>
      <c r="X224" s="766" t="s">
        <v>625</v>
      </c>
      <c r="Y224" s="766" t="s">
        <v>626</v>
      </c>
      <c r="Z224" s="766" t="s">
        <v>627</v>
      </c>
      <c r="AA224" s="766" t="s">
        <v>628</v>
      </c>
      <c r="AB224" s="766" t="s">
        <v>629</v>
      </c>
      <c r="AC224" s="766" t="s">
        <v>630</v>
      </c>
      <c r="AD224" s="766" t="s">
        <v>631</v>
      </c>
      <c r="AE224" s="766" t="s">
        <v>632</v>
      </c>
      <c r="AF224" s="766" t="s">
        <v>633</v>
      </c>
      <c r="AG224" s="766" t="s">
        <v>634</v>
      </c>
      <c r="AH224" s="766" t="s">
        <v>635</v>
      </c>
      <c r="AI224" s="766" t="s">
        <v>636</v>
      </c>
      <c r="AJ224" s="766" t="s">
        <v>637</v>
      </c>
      <c r="AK224" s="766" t="s">
        <v>638</v>
      </c>
      <c r="AL224" s="766" t="s">
        <v>639</v>
      </c>
      <c r="AM224" s="766" t="s">
        <v>640</v>
      </c>
      <c r="AN224" s="766" t="s">
        <v>641</v>
      </c>
      <c r="AO224" s="766" t="s">
        <v>642</v>
      </c>
      <c r="AP224" s="766" t="s">
        <v>643</v>
      </c>
      <c r="AQ224" s="766" t="s">
        <v>644</v>
      </c>
      <c r="AR224" s="766" t="s">
        <v>645</v>
      </c>
      <c r="AS224" s="766" t="s">
        <v>646</v>
      </c>
      <c r="AT224" s="766" t="s">
        <v>647</v>
      </c>
      <c r="AU224" s="766" t="s">
        <v>648</v>
      </c>
      <c r="AV224" s="766" t="s">
        <v>649</v>
      </c>
      <c r="AW224" s="766" t="s">
        <v>650</v>
      </c>
      <c r="AX224" s="766" t="s">
        <v>651</v>
      </c>
      <c r="AY224" s="766" t="s">
        <v>652</v>
      </c>
      <c r="AZ224" s="766" t="s">
        <v>653</v>
      </c>
      <c r="BA224" s="766" t="s">
        <v>654</v>
      </c>
      <c r="BB224" s="766" t="s">
        <v>655</v>
      </c>
      <c r="BC224" s="766" t="s">
        <v>656</v>
      </c>
      <c r="BD224" s="766" t="s">
        <v>657</v>
      </c>
      <c r="BE224" s="766" t="s">
        <v>658</v>
      </c>
      <c r="BF224" s="766" t="s">
        <v>659</v>
      </c>
      <c r="BG224" s="766" t="s">
        <v>660</v>
      </c>
      <c r="BH224" s="766" t="s">
        <v>661</v>
      </c>
      <c r="BI224" s="766" t="s">
        <v>662</v>
      </c>
      <c r="BJ224" s="766" t="s">
        <v>663</v>
      </c>
      <c r="BK224" s="766" t="s">
        <v>664</v>
      </c>
      <c r="BL224" s="766" t="s">
        <v>665</v>
      </c>
      <c r="BM224" s="766" t="s">
        <v>666</v>
      </c>
      <c r="BN224" s="766" t="s">
        <v>667</v>
      </c>
      <c r="BO224" s="766" t="s">
        <v>668</v>
      </c>
      <c r="BP224" s="766" t="s">
        <v>669</v>
      </c>
      <c r="BQ224" s="766" t="s">
        <v>670</v>
      </c>
      <c r="BR224" s="766" t="s">
        <v>671</v>
      </c>
      <c r="BS224" s="766" t="s">
        <v>672</v>
      </c>
      <c r="BT224" s="766" t="s">
        <v>673</v>
      </c>
      <c r="BU224" s="766" t="s">
        <v>674</v>
      </c>
      <c r="BV224" s="766" t="s">
        <v>675</v>
      </c>
      <c r="BW224" s="766" t="s">
        <v>676</v>
      </c>
      <c r="BX224" s="766" t="s">
        <v>677</v>
      </c>
      <c r="BY224" s="766" t="s">
        <v>678</v>
      </c>
      <c r="BZ224" s="766" t="s">
        <v>679</v>
      </c>
      <c r="CA224" s="766" t="s">
        <v>680</v>
      </c>
      <c r="CB224" s="766" t="s">
        <v>681</v>
      </c>
      <c r="CC224" s="766" t="s">
        <v>682</v>
      </c>
      <c r="CD224" s="766" t="s">
        <v>683</v>
      </c>
      <c r="CE224" s="766" t="s">
        <v>684</v>
      </c>
      <c r="CF224" s="766" t="s">
        <v>685</v>
      </c>
      <c r="CG224" s="766" t="s">
        <v>686</v>
      </c>
      <c r="CH224" s="766" t="s">
        <v>687</v>
      </c>
      <c r="CI224" s="766" t="s">
        <v>688</v>
      </c>
      <c r="CJ224" s="766" t="s">
        <v>689</v>
      </c>
      <c r="CK224" s="766" t="s">
        <v>690</v>
      </c>
      <c r="CL224" s="766" t="s">
        <v>691</v>
      </c>
      <c r="CM224" s="766" t="s">
        <v>692</v>
      </c>
      <c r="CN224" s="766" t="s">
        <v>693</v>
      </c>
      <c r="CO224" s="766" t="s">
        <v>694</v>
      </c>
      <c r="CP224" s="766" t="s">
        <v>695</v>
      </c>
      <c r="CQ224" s="766" t="s">
        <v>696</v>
      </c>
      <c r="CR224" s="766" t="s">
        <v>697</v>
      </c>
      <c r="CS224" s="766" t="s">
        <v>698</v>
      </c>
      <c r="CT224" s="766" t="s">
        <v>699</v>
      </c>
      <c r="CU224" s="766" t="s">
        <v>700</v>
      </c>
      <c r="CV224" s="766" t="s">
        <v>701</v>
      </c>
      <c r="CW224" s="766" t="s">
        <v>702</v>
      </c>
      <c r="CX224" s="766" t="s">
        <v>703</v>
      </c>
      <c r="CY224" s="766" t="s">
        <v>704</v>
      </c>
      <c r="CZ224" s="766" t="s">
        <v>705</v>
      </c>
      <c r="DA224" s="766" t="s">
        <v>706</v>
      </c>
      <c r="DB224" s="766" t="s">
        <v>707</v>
      </c>
      <c r="DC224" s="766" t="s">
        <v>708</v>
      </c>
      <c r="DD224" s="766" t="s">
        <v>709</v>
      </c>
      <c r="DE224" s="766"/>
      <c r="DF224" s="766"/>
      <c r="DG224" s="766"/>
      <c r="DH224" s="766"/>
      <c r="DI224" s="766"/>
      <c r="DJ224" s="766"/>
      <c r="DK224" s="766"/>
      <c r="DL224" s="766"/>
      <c r="DM224" s="766"/>
      <c r="DN224" s="766"/>
      <c r="DO224" s="766"/>
      <c r="DP224" s="766"/>
      <c r="DQ224" s="766"/>
      <c r="DR224" s="766"/>
      <c r="DS224" s="766"/>
      <c r="DT224" s="766"/>
      <c r="DU224" s="766"/>
      <c r="DV224" s="766"/>
      <c r="DW224" s="766"/>
      <c r="DX224" s="766"/>
      <c r="DY224" s="766"/>
      <c r="DZ224" s="766"/>
      <c r="EA224" s="766"/>
      <c r="EB224" s="766"/>
      <c r="EC224" s="766"/>
      <c r="ED224" s="766"/>
      <c r="EE224" s="766"/>
      <c r="EF224" s="766"/>
      <c r="EG224" s="766"/>
      <c r="EH224" s="766"/>
      <c r="EI224" s="766"/>
      <c r="EJ224" s="766"/>
      <c r="EK224" s="766"/>
      <c r="EL224" s="766"/>
      <c r="EM224" s="766"/>
      <c r="EN224" s="766"/>
      <c r="EO224" s="766"/>
      <c r="EP224" s="766"/>
      <c r="EQ224" s="766"/>
      <c r="ER224" s="766"/>
      <c r="ES224" s="766"/>
      <c r="ET224" s="766"/>
      <c r="EU224" s="766"/>
      <c r="EV224" s="766"/>
      <c r="EW224" s="766"/>
      <c r="EX224" s="766"/>
      <c r="EY224" s="766"/>
      <c r="EZ224" s="766"/>
      <c r="FA224" s="766"/>
      <c r="FB224" s="766"/>
      <c r="FC224" s="766"/>
      <c r="FD224" s="766"/>
      <c r="FE224" s="766"/>
      <c r="FF224" s="766"/>
      <c r="FG224" s="766"/>
      <c r="FH224" s="766"/>
      <c r="FI224" s="766"/>
      <c r="FJ224" s="766"/>
    </row>
    <row r="225" spans="1:256" s="766" customFormat="1" ht="23.25" customHeight="1" hidden="1">
      <c r="A225" s="765"/>
      <c r="B225" s="765"/>
      <c r="C225" s="765"/>
      <c r="D225" s="765"/>
      <c r="E225" s="765"/>
      <c r="F225" s="765"/>
      <c r="G225" s="765"/>
      <c r="H225" s="765"/>
      <c r="I225" s="765"/>
      <c r="J225" s="765"/>
      <c r="K225" s="765"/>
      <c r="L225" s="765"/>
      <c r="FK225" s="765"/>
      <c r="FL225" s="765"/>
      <c r="FM225" s="765"/>
      <c r="FN225" s="765"/>
      <c r="FO225" s="765"/>
      <c r="FP225" s="765"/>
      <c r="FQ225" s="765"/>
      <c r="FR225" s="765"/>
      <c r="FS225" s="765"/>
      <c r="FT225" s="765"/>
      <c r="FU225" s="765"/>
      <c r="FV225" s="765"/>
      <c r="FW225" s="765"/>
      <c r="FX225" s="765"/>
      <c r="FY225" s="765"/>
      <c r="FZ225" s="765"/>
      <c r="GA225" s="765"/>
      <c r="GB225" s="765"/>
      <c r="GC225" s="765"/>
      <c r="GD225" s="765"/>
      <c r="GE225" s="765"/>
      <c r="GF225" s="765"/>
      <c r="GG225" s="765"/>
      <c r="GH225" s="765"/>
      <c r="GI225" s="765"/>
      <c r="GJ225" s="765"/>
      <c r="GK225" s="765"/>
      <c r="GL225" s="765"/>
      <c r="GM225" s="765"/>
      <c r="GN225" s="765"/>
      <c r="GO225" s="765"/>
      <c r="GP225" s="765"/>
      <c r="GQ225" s="765"/>
      <c r="GR225" s="765"/>
      <c r="GS225" s="765"/>
      <c r="GT225" s="765"/>
      <c r="GU225" s="765"/>
      <c r="GV225" s="765"/>
      <c r="GW225" s="765"/>
      <c r="GX225" s="765"/>
      <c r="GY225" s="765"/>
      <c r="GZ225" s="765"/>
      <c r="HA225" s="765"/>
      <c r="HB225" s="765"/>
      <c r="HC225" s="765"/>
      <c r="HD225" s="765"/>
      <c r="HE225" s="765"/>
      <c r="HF225" s="765"/>
      <c r="HG225" s="765"/>
      <c r="HH225" s="765"/>
      <c r="HI225" s="765"/>
      <c r="HJ225" s="765"/>
      <c r="HK225" s="765"/>
      <c r="HL225" s="765"/>
      <c r="HM225" s="765"/>
      <c r="HN225" s="765"/>
      <c r="HO225" s="765"/>
      <c r="HP225" s="765"/>
      <c r="HQ225" s="765"/>
      <c r="HR225" s="765"/>
      <c r="HS225" s="765"/>
      <c r="HT225" s="765"/>
      <c r="HU225" s="765"/>
      <c r="HV225" s="765"/>
      <c r="HW225" s="765"/>
      <c r="HX225" s="765"/>
      <c r="HY225" s="765"/>
      <c r="HZ225" s="765"/>
      <c r="IA225" s="765"/>
      <c r="IB225" s="765"/>
      <c r="IC225" s="765"/>
      <c r="ID225" s="765"/>
      <c r="IE225" s="765"/>
      <c r="IF225" s="765"/>
      <c r="IG225" s="765"/>
      <c r="IH225" s="765"/>
      <c r="II225" s="765"/>
      <c r="IJ225" s="765"/>
      <c r="IK225" s="765"/>
      <c r="IL225" s="765"/>
      <c r="IM225" s="765"/>
      <c r="IN225" s="765"/>
      <c r="IO225" s="765"/>
      <c r="IP225" s="765"/>
      <c r="IQ225" s="765"/>
      <c r="IR225" s="765"/>
      <c r="IS225" s="765"/>
      <c r="IT225" s="765"/>
      <c r="IU225" s="765"/>
      <c r="IV225" s="765"/>
    </row>
    <row r="226" spans="1:256" s="766" customFormat="1" ht="23.25" customHeight="1" hidden="1">
      <c r="A226" s="765"/>
      <c r="B226" s="765"/>
      <c r="C226" s="765"/>
      <c r="D226" s="765"/>
      <c r="E226" s="765"/>
      <c r="F226" s="765"/>
      <c r="G226" s="765"/>
      <c r="H226" s="765"/>
      <c r="I226" s="765"/>
      <c r="J226" s="765"/>
      <c r="K226" s="765"/>
      <c r="L226" s="765"/>
      <c r="FK226" s="765"/>
      <c r="FL226" s="765"/>
      <c r="FM226" s="765"/>
      <c r="FN226" s="765"/>
      <c r="FO226" s="765"/>
      <c r="FP226" s="765"/>
      <c r="FQ226" s="765"/>
      <c r="FR226" s="765"/>
      <c r="FS226" s="765"/>
      <c r="FT226" s="765"/>
      <c r="FU226" s="765"/>
      <c r="FV226" s="765"/>
      <c r="FW226" s="765"/>
      <c r="FX226" s="765"/>
      <c r="FY226" s="765"/>
      <c r="FZ226" s="765"/>
      <c r="GA226" s="765"/>
      <c r="GB226" s="765"/>
      <c r="GC226" s="765"/>
      <c r="GD226" s="765"/>
      <c r="GE226" s="765"/>
      <c r="GF226" s="765"/>
      <c r="GG226" s="765"/>
      <c r="GH226" s="765"/>
      <c r="GI226" s="765"/>
      <c r="GJ226" s="765"/>
      <c r="GK226" s="765"/>
      <c r="GL226" s="765"/>
      <c r="GM226" s="765"/>
      <c r="GN226" s="765"/>
      <c r="GO226" s="765"/>
      <c r="GP226" s="765"/>
      <c r="GQ226" s="765"/>
      <c r="GR226" s="765"/>
      <c r="GS226" s="765"/>
      <c r="GT226" s="765"/>
      <c r="GU226" s="765"/>
      <c r="GV226" s="765"/>
      <c r="GW226" s="765"/>
      <c r="GX226" s="765"/>
      <c r="GY226" s="765"/>
      <c r="GZ226" s="765"/>
      <c r="HA226" s="765"/>
      <c r="HB226" s="765"/>
      <c r="HC226" s="765"/>
      <c r="HD226" s="765"/>
      <c r="HE226" s="765"/>
      <c r="HF226" s="765"/>
      <c r="HG226" s="765"/>
      <c r="HH226" s="765"/>
      <c r="HI226" s="765"/>
      <c r="HJ226" s="765"/>
      <c r="HK226" s="765"/>
      <c r="HL226" s="765"/>
      <c r="HM226" s="765"/>
      <c r="HN226" s="765"/>
      <c r="HO226" s="765"/>
      <c r="HP226" s="765"/>
      <c r="HQ226" s="765"/>
      <c r="HR226" s="765"/>
      <c r="HS226" s="765"/>
      <c r="HT226" s="765"/>
      <c r="HU226" s="765"/>
      <c r="HV226" s="765"/>
      <c r="HW226" s="765"/>
      <c r="HX226" s="765"/>
      <c r="HY226" s="765"/>
      <c r="HZ226" s="765"/>
      <c r="IA226" s="765"/>
      <c r="IB226" s="765"/>
      <c r="IC226" s="765"/>
      <c r="ID226" s="765"/>
      <c r="IE226" s="765"/>
      <c r="IF226" s="765"/>
      <c r="IG226" s="765"/>
      <c r="IH226" s="765"/>
      <c r="II226" s="765"/>
      <c r="IJ226" s="765"/>
      <c r="IK226" s="765"/>
      <c r="IL226" s="765"/>
      <c r="IM226" s="765"/>
      <c r="IN226" s="765"/>
      <c r="IO226" s="765"/>
      <c r="IP226" s="765"/>
      <c r="IQ226" s="765"/>
      <c r="IR226" s="765"/>
      <c r="IS226" s="765"/>
      <c r="IT226" s="765"/>
      <c r="IU226" s="765"/>
      <c r="IV226" s="765"/>
    </row>
    <row r="227" spans="1:256" s="766" customFormat="1" ht="23.25" customHeight="1" hidden="1">
      <c r="A227" s="765"/>
      <c r="B227" s="765"/>
      <c r="C227" s="765"/>
      <c r="D227" s="765"/>
      <c r="E227" s="765"/>
      <c r="F227" s="765"/>
      <c r="G227" s="765"/>
      <c r="H227" s="765"/>
      <c r="I227" s="765"/>
      <c r="J227" s="765"/>
      <c r="K227" s="765"/>
      <c r="L227" s="765"/>
      <c r="R227" s="1084"/>
      <c r="S227" s="1084"/>
      <c r="FK227" s="765"/>
      <c r="FL227" s="765"/>
      <c r="FM227" s="765"/>
      <c r="FN227" s="765"/>
      <c r="FO227" s="765"/>
      <c r="FP227" s="765"/>
      <c r="FQ227" s="765"/>
      <c r="FR227" s="765"/>
      <c r="FS227" s="765"/>
      <c r="FT227" s="765"/>
      <c r="FU227" s="765"/>
      <c r="FV227" s="765"/>
      <c r="FW227" s="765"/>
      <c r="FX227" s="765"/>
      <c r="FY227" s="765"/>
      <c r="FZ227" s="765"/>
      <c r="GA227" s="765"/>
      <c r="GB227" s="765"/>
      <c r="GC227" s="765"/>
      <c r="GD227" s="765"/>
      <c r="GE227" s="765"/>
      <c r="GF227" s="765"/>
      <c r="GG227" s="765"/>
      <c r="GH227" s="765"/>
      <c r="GI227" s="765"/>
      <c r="GJ227" s="765"/>
      <c r="GK227" s="765"/>
      <c r="GL227" s="765"/>
      <c r="GM227" s="765"/>
      <c r="GN227" s="765"/>
      <c r="GO227" s="765"/>
      <c r="GP227" s="765"/>
      <c r="GQ227" s="765"/>
      <c r="GR227" s="765"/>
      <c r="GS227" s="765"/>
      <c r="GT227" s="765"/>
      <c r="GU227" s="765"/>
      <c r="GV227" s="765"/>
      <c r="GW227" s="765"/>
      <c r="GX227" s="765"/>
      <c r="GY227" s="765"/>
      <c r="GZ227" s="765"/>
      <c r="HA227" s="765"/>
      <c r="HB227" s="765"/>
      <c r="HC227" s="765"/>
      <c r="HD227" s="765"/>
      <c r="HE227" s="765"/>
      <c r="HF227" s="765"/>
      <c r="HG227" s="765"/>
      <c r="HH227" s="765"/>
      <c r="HI227" s="765"/>
      <c r="HJ227" s="765"/>
      <c r="HK227" s="765"/>
      <c r="HL227" s="765"/>
      <c r="HM227" s="765"/>
      <c r="HN227" s="765"/>
      <c r="HO227" s="765"/>
      <c r="HP227" s="765"/>
      <c r="HQ227" s="765"/>
      <c r="HR227" s="765"/>
      <c r="HS227" s="765"/>
      <c r="HT227" s="765"/>
      <c r="HU227" s="765"/>
      <c r="HV227" s="765"/>
      <c r="HW227" s="765"/>
      <c r="HX227" s="765"/>
      <c r="HY227" s="765"/>
      <c r="HZ227" s="765"/>
      <c r="IA227" s="765"/>
      <c r="IB227" s="765"/>
      <c r="IC227" s="765"/>
      <c r="ID227" s="765"/>
      <c r="IE227" s="765"/>
      <c r="IF227" s="765"/>
      <c r="IG227" s="765"/>
      <c r="IH227" s="765"/>
      <c r="II227" s="765"/>
      <c r="IJ227" s="765"/>
      <c r="IK227" s="765"/>
      <c r="IL227" s="765"/>
      <c r="IM227" s="765"/>
      <c r="IN227" s="765"/>
      <c r="IO227" s="765"/>
      <c r="IP227" s="765"/>
      <c r="IQ227" s="765"/>
      <c r="IR227" s="765"/>
      <c r="IS227" s="765"/>
      <c r="IT227" s="765"/>
      <c r="IU227" s="765"/>
      <c r="IV227" s="765"/>
    </row>
    <row r="228" spans="1:256" s="766" customFormat="1" ht="12" customHeight="1" hidden="1">
      <c r="A228" s="765"/>
      <c r="B228" s="765"/>
      <c r="C228" s="765"/>
      <c r="D228" s="765"/>
      <c r="E228" s="767"/>
      <c r="F228" s="765"/>
      <c r="G228" s="765"/>
      <c r="H228" s="765"/>
      <c r="I228" s="765"/>
      <c r="J228" s="765"/>
      <c r="K228" s="765"/>
      <c r="L228" s="765"/>
      <c r="V228" s="768"/>
      <c r="W228" s="768"/>
      <c r="FK228" s="765"/>
      <c r="FL228" s="765"/>
      <c r="FM228" s="765"/>
      <c r="FN228" s="765"/>
      <c r="FO228" s="765"/>
      <c r="FP228" s="765"/>
      <c r="FQ228" s="765"/>
      <c r="FR228" s="765"/>
      <c r="FS228" s="765"/>
      <c r="FT228" s="765"/>
      <c r="FU228" s="765"/>
      <c r="FV228" s="765"/>
      <c r="FW228" s="765"/>
      <c r="FX228" s="765"/>
      <c r="FY228" s="765"/>
      <c r="FZ228" s="765"/>
      <c r="GA228" s="765"/>
      <c r="GB228" s="765"/>
      <c r="GC228" s="765"/>
      <c r="GD228" s="765"/>
      <c r="GE228" s="765"/>
      <c r="GF228" s="765"/>
      <c r="GG228" s="765"/>
      <c r="GH228" s="765"/>
      <c r="GI228" s="765"/>
      <c r="GJ228" s="765"/>
      <c r="GK228" s="765"/>
      <c r="GL228" s="765"/>
      <c r="GM228" s="765"/>
      <c r="GN228" s="765"/>
      <c r="GO228" s="765"/>
      <c r="GP228" s="765"/>
      <c r="GQ228" s="765"/>
      <c r="GR228" s="765"/>
      <c r="GS228" s="765"/>
      <c r="GT228" s="765"/>
      <c r="GU228" s="765"/>
      <c r="GV228" s="765"/>
      <c r="GW228" s="765"/>
      <c r="GX228" s="765"/>
      <c r="GY228" s="765"/>
      <c r="GZ228" s="765"/>
      <c r="HA228" s="765"/>
      <c r="HB228" s="765"/>
      <c r="HC228" s="765"/>
      <c r="HD228" s="765"/>
      <c r="HE228" s="765"/>
      <c r="HF228" s="765"/>
      <c r="HG228" s="765"/>
      <c r="HH228" s="765"/>
      <c r="HI228" s="765"/>
      <c r="HJ228" s="765"/>
      <c r="HK228" s="765"/>
      <c r="HL228" s="765"/>
      <c r="HM228" s="765"/>
      <c r="HN228" s="765"/>
      <c r="HO228" s="765"/>
      <c r="HP228" s="765"/>
      <c r="HQ228" s="765"/>
      <c r="HR228" s="765"/>
      <c r="HS228" s="765"/>
      <c r="HT228" s="765"/>
      <c r="HU228" s="765"/>
      <c r="HV228" s="765"/>
      <c r="HW228" s="765"/>
      <c r="HX228" s="765"/>
      <c r="HY228" s="765"/>
      <c r="HZ228" s="765"/>
      <c r="IA228" s="765"/>
      <c r="IB228" s="765"/>
      <c r="IC228" s="765"/>
      <c r="ID228" s="765"/>
      <c r="IE228" s="765"/>
      <c r="IF228" s="765"/>
      <c r="IG228" s="765"/>
      <c r="IH228" s="765"/>
      <c r="II228" s="765"/>
      <c r="IJ228" s="765"/>
      <c r="IK228" s="765"/>
      <c r="IL228" s="765"/>
      <c r="IM228" s="765"/>
      <c r="IN228" s="765"/>
      <c r="IO228" s="765"/>
      <c r="IP228" s="765"/>
      <c r="IQ228" s="765"/>
      <c r="IR228" s="765"/>
      <c r="IS228" s="765"/>
      <c r="IT228" s="765"/>
      <c r="IU228" s="765"/>
      <c r="IV228" s="765"/>
    </row>
    <row r="229" spans="1:256" s="766" customFormat="1" ht="17.25" customHeight="1" hidden="1">
      <c r="A229" s="765"/>
      <c r="B229" s="765"/>
      <c r="C229" s="765"/>
      <c r="D229" s="765"/>
      <c r="E229" s="767"/>
      <c r="F229" s="765"/>
      <c r="G229" s="765"/>
      <c r="H229" s="765"/>
      <c r="I229" s="765"/>
      <c r="J229" s="765"/>
      <c r="K229" s="765"/>
      <c r="L229" s="765"/>
      <c r="V229" s="769"/>
      <c r="W229" s="769"/>
      <c r="FK229" s="765"/>
      <c r="FL229" s="765"/>
      <c r="FM229" s="765"/>
      <c r="FN229" s="765"/>
      <c r="FO229" s="765"/>
      <c r="FP229" s="765"/>
      <c r="FQ229" s="765"/>
      <c r="FR229" s="765"/>
      <c r="FS229" s="765"/>
      <c r="FT229" s="765"/>
      <c r="FU229" s="765"/>
      <c r="FV229" s="765"/>
      <c r="FW229" s="765"/>
      <c r="FX229" s="765"/>
      <c r="FY229" s="765"/>
      <c r="FZ229" s="765"/>
      <c r="GA229" s="765"/>
      <c r="GB229" s="765"/>
      <c r="GC229" s="765"/>
      <c r="GD229" s="765"/>
      <c r="GE229" s="765"/>
      <c r="GF229" s="765"/>
      <c r="GG229" s="765"/>
      <c r="GH229" s="765"/>
      <c r="GI229" s="765"/>
      <c r="GJ229" s="765"/>
      <c r="GK229" s="765"/>
      <c r="GL229" s="765"/>
      <c r="GM229" s="765"/>
      <c r="GN229" s="765"/>
      <c r="GO229" s="765"/>
      <c r="GP229" s="765"/>
      <c r="GQ229" s="765"/>
      <c r="GR229" s="765"/>
      <c r="GS229" s="765"/>
      <c r="GT229" s="765"/>
      <c r="GU229" s="765"/>
      <c r="GV229" s="765"/>
      <c r="GW229" s="765"/>
      <c r="GX229" s="765"/>
      <c r="GY229" s="765"/>
      <c r="GZ229" s="765"/>
      <c r="HA229" s="765"/>
      <c r="HB229" s="765"/>
      <c r="HC229" s="765"/>
      <c r="HD229" s="765"/>
      <c r="HE229" s="765"/>
      <c r="HF229" s="765"/>
      <c r="HG229" s="765"/>
      <c r="HH229" s="765"/>
      <c r="HI229" s="765"/>
      <c r="HJ229" s="765"/>
      <c r="HK229" s="765"/>
      <c r="HL229" s="765"/>
      <c r="HM229" s="765"/>
      <c r="HN229" s="765"/>
      <c r="HO229" s="765"/>
      <c r="HP229" s="765"/>
      <c r="HQ229" s="765"/>
      <c r="HR229" s="765"/>
      <c r="HS229" s="765"/>
      <c r="HT229" s="765"/>
      <c r="HU229" s="765"/>
      <c r="HV229" s="765"/>
      <c r="HW229" s="765"/>
      <c r="HX229" s="765"/>
      <c r="HY229" s="765"/>
      <c r="HZ229" s="765"/>
      <c r="IA229" s="765"/>
      <c r="IB229" s="765"/>
      <c r="IC229" s="765"/>
      <c r="ID229" s="765"/>
      <c r="IE229" s="765"/>
      <c r="IF229" s="765"/>
      <c r="IG229" s="765"/>
      <c r="IH229" s="765"/>
      <c r="II229" s="765"/>
      <c r="IJ229" s="765"/>
      <c r="IK229" s="765"/>
      <c r="IL229" s="765"/>
      <c r="IM229" s="765"/>
      <c r="IN229" s="765"/>
      <c r="IO229" s="765"/>
      <c r="IP229" s="765"/>
      <c r="IQ229" s="765"/>
      <c r="IR229" s="765"/>
      <c r="IS229" s="765"/>
      <c r="IT229" s="765"/>
      <c r="IU229" s="765"/>
      <c r="IV229" s="765"/>
    </row>
    <row r="230" spans="1:256" s="766" customFormat="1" ht="17.25" customHeight="1" hidden="1">
      <c r="A230" s="765"/>
      <c r="B230" s="765"/>
      <c r="C230" s="765"/>
      <c r="D230" s="765"/>
      <c r="E230" s="767"/>
      <c r="F230" s="765"/>
      <c r="G230" s="765"/>
      <c r="H230" s="765"/>
      <c r="I230" s="765"/>
      <c r="J230" s="765"/>
      <c r="K230" s="765"/>
      <c r="L230" s="765"/>
      <c r="V230" s="768"/>
      <c r="W230" s="768"/>
      <c r="FK230" s="765"/>
      <c r="FL230" s="765"/>
      <c r="FM230" s="765"/>
      <c r="FN230" s="765"/>
      <c r="FO230" s="765"/>
      <c r="FP230" s="765"/>
      <c r="FQ230" s="765"/>
      <c r="FR230" s="765"/>
      <c r="FS230" s="765"/>
      <c r="FT230" s="765"/>
      <c r="FU230" s="765"/>
      <c r="FV230" s="765"/>
      <c r="FW230" s="765"/>
      <c r="FX230" s="765"/>
      <c r="FY230" s="765"/>
      <c r="FZ230" s="765"/>
      <c r="GA230" s="765"/>
      <c r="GB230" s="765"/>
      <c r="GC230" s="765"/>
      <c r="GD230" s="765"/>
      <c r="GE230" s="765"/>
      <c r="GF230" s="765"/>
      <c r="GG230" s="765"/>
      <c r="GH230" s="765"/>
      <c r="GI230" s="765"/>
      <c r="GJ230" s="765"/>
      <c r="GK230" s="765"/>
      <c r="GL230" s="765"/>
      <c r="GM230" s="765"/>
      <c r="GN230" s="765"/>
      <c r="GO230" s="765"/>
      <c r="GP230" s="765"/>
      <c r="GQ230" s="765"/>
      <c r="GR230" s="765"/>
      <c r="GS230" s="765"/>
      <c r="GT230" s="765"/>
      <c r="GU230" s="765"/>
      <c r="GV230" s="765"/>
      <c r="GW230" s="765"/>
      <c r="GX230" s="765"/>
      <c r="GY230" s="765"/>
      <c r="GZ230" s="765"/>
      <c r="HA230" s="765"/>
      <c r="HB230" s="765"/>
      <c r="HC230" s="765"/>
      <c r="HD230" s="765"/>
      <c r="HE230" s="765"/>
      <c r="HF230" s="765"/>
      <c r="HG230" s="765"/>
      <c r="HH230" s="765"/>
      <c r="HI230" s="765"/>
      <c r="HJ230" s="765"/>
      <c r="HK230" s="765"/>
      <c r="HL230" s="765"/>
      <c r="HM230" s="765"/>
      <c r="HN230" s="765"/>
      <c r="HO230" s="765"/>
      <c r="HP230" s="765"/>
      <c r="HQ230" s="765"/>
      <c r="HR230" s="765"/>
      <c r="HS230" s="765"/>
      <c r="HT230" s="765"/>
      <c r="HU230" s="765"/>
      <c r="HV230" s="765"/>
      <c r="HW230" s="765"/>
      <c r="HX230" s="765"/>
      <c r="HY230" s="765"/>
      <c r="HZ230" s="765"/>
      <c r="IA230" s="765"/>
      <c r="IB230" s="765"/>
      <c r="IC230" s="765"/>
      <c r="ID230" s="765"/>
      <c r="IE230" s="765"/>
      <c r="IF230" s="765"/>
      <c r="IG230" s="765"/>
      <c r="IH230" s="765"/>
      <c r="II230" s="765"/>
      <c r="IJ230" s="765"/>
      <c r="IK230" s="765"/>
      <c r="IL230" s="765"/>
      <c r="IM230" s="765"/>
      <c r="IN230" s="765"/>
      <c r="IO230" s="765"/>
      <c r="IP230" s="765"/>
      <c r="IQ230" s="765"/>
      <c r="IR230" s="765"/>
      <c r="IS230" s="765"/>
      <c r="IT230" s="765"/>
      <c r="IU230" s="765"/>
      <c r="IV230" s="765"/>
    </row>
    <row r="231" spans="1:256" s="766" customFormat="1" ht="29.25" customHeight="1" hidden="1">
      <c r="A231" s="765"/>
      <c r="B231" s="765"/>
      <c r="C231" s="765"/>
      <c r="D231" s="765"/>
      <c r="E231" s="767"/>
      <c r="F231" s="765"/>
      <c r="G231" s="765"/>
      <c r="H231" s="765"/>
      <c r="I231" s="765"/>
      <c r="J231" s="765"/>
      <c r="K231" s="765"/>
      <c r="L231" s="765"/>
      <c r="FK231" s="765"/>
      <c r="FL231" s="765"/>
      <c r="FM231" s="765"/>
      <c r="FN231" s="765"/>
      <c r="FO231" s="765"/>
      <c r="FP231" s="765"/>
      <c r="FQ231" s="765"/>
      <c r="FR231" s="765"/>
      <c r="FS231" s="765"/>
      <c r="FT231" s="765"/>
      <c r="FU231" s="765"/>
      <c r="FV231" s="765"/>
      <c r="FW231" s="765"/>
      <c r="FX231" s="765"/>
      <c r="FY231" s="765"/>
      <c r="FZ231" s="765"/>
      <c r="GA231" s="765"/>
      <c r="GB231" s="765"/>
      <c r="GC231" s="765"/>
      <c r="GD231" s="765"/>
      <c r="GE231" s="765"/>
      <c r="GF231" s="765"/>
      <c r="GG231" s="765"/>
      <c r="GH231" s="765"/>
      <c r="GI231" s="765"/>
      <c r="GJ231" s="765"/>
      <c r="GK231" s="765"/>
      <c r="GL231" s="765"/>
      <c r="GM231" s="765"/>
      <c r="GN231" s="765"/>
      <c r="GO231" s="765"/>
      <c r="GP231" s="765"/>
      <c r="GQ231" s="765"/>
      <c r="GR231" s="765"/>
      <c r="GS231" s="765"/>
      <c r="GT231" s="765"/>
      <c r="GU231" s="765"/>
      <c r="GV231" s="765"/>
      <c r="GW231" s="765"/>
      <c r="GX231" s="765"/>
      <c r="GY231" s="765"/>
      <c r="GZ231" s="765"/>
      <c r="HA231" s="765"/>
      <c r="HB231" s="765"/>
      <c r="HC231" s="765"/>
      <c r="HD231" s="765"/>
      <c r="HE231" s="765"/>
      <c r="HF231" s="765"/>
      <c r="HG231" s="765"/>
      <c r="HH231" s="765"/>
      <c r="HI231" s="765"/>
      <c r="HJ231" s="765"/>
      <c r="HK231" s="765"/>
      <c r="HL231" s="765"/>
      <c r="HM231" s="765"/>
      <c r="HN231" s="765"/>
      <c r="HO231" s="765"/>
      <c r="HP231" s="765"/>
      <c r="HQ231" s="765"/>
      <c r="HR231" s="765"/>
      <c r="HS231" s="765"/>
      <c r="HT231" s="765"/>
      <c r="HU231" s="765"/>
      <c r="HV231" s="765"/>
      <c r="HW231" s="765"/>
      <c r="HX231" s="765"/>
      <c r="HY231" s="765"/>
      <c r="HZ231" s="765"/>
      <c r="IA231" s="765"/>
      <c r="IB231" s="765"/>
      <c r="IC231" s="765"/>
      <c r="ID231" s="765"/>
      <c r="IE231" s="765"/>
      <c r="IF231" s="765"/>
      <c r="IG231" s="765"/>
      <c r="IH231" s="765"/>
      <c r="II231" s="765"/>
      <c r="IJ231" s="765"/>
      <c r="IK231" s="765"/>
      <c r="IL231" s="765"/>
      <c r="IM231" s="765"/>
      <c r="IN231" s="765"/>
      <c r="IO231" s="765"/>
      <c r="IP231" s="765"/>
      <c r="IQ231" s="765"/>
      <c r="IR231" s="765"/>
      <c r="IS231" s="765"/>
      <c r="IT231" s="765"/>
      <c r="IU231" s="765"/>
      <c r="IV231" s="765"/>
    </row>
    <row r="232" spans="1:256" s="766" customFormat="1" ht="15" customHeight="1" hidden="1">
      <c r="A232" s="765"/>
      <c r="B232" s="765"/>
      <c r="C232" s="765"/>
      <c r="D232" s="765"/>
      <c r="E232" s="765"/>
      <c r="F232" s="765"/>
      <c r="G232" s="765"/>
      <c r="H232" s="765"/>
      <c r="I232" s="765"/>
      <c r="J232" s="765"/>
      <c r="K232" s="765"/>
      <c r="L232" s="765"/>
      <c r="FK232" s="765"/>
      <c r="FL232" s="765"/>
      <c r="FM232" s="765"/>
      <c r="FN232" s="765"/>
      <c r="FO232" s="765"/>
      <c r="FP232" s="765"/>
      <c r="FQ232" s="765"/>
      <c r="FR232" s="765"/>
      <c r="FS232" s="765"/>
      <c r="FT232" s="765"/>
      <c r="FU232" s="765"/>
      <c r="FV232" s="765"/>
      <c r="FW232" s="765"/>
      <c r="FX232" s="765"/>
      <c r="FY232" s="765"/>
      <c r="FZ232" s="765"/>
      <c r="GA232" s="765"/>
      <c r="GB232" s="765"/>
      <c r="GC232" s="765"/>
      <c r="GD232" s="765"/>
      <c r="GE232" s="765"/>
      <c r="GF232" s="765"/>
      <c r="GG232" s="765"/>
      <c r="GH232" s="765"/>
      <c r="GI232" s="765"/>
      <c r="GJ232" s="765"/>
      <c r="GK232" s="765"/>
      <c r="GL232" s="765"/>
      <c r="GM232" s="765"/>
      <c r="GN232" s="765"/>
      <c r="GO232" s="765"/>
      <c r="GP232" s="765"/>
      <c r="GQ232" s="765"/>
      <c r="GR232" s="765"/>
      <c r="GS232" s="765"/>
      <c r="GT232" s="765"/>
      <c r="GU232" s="765"/>
      <c r="GV232" s="765"/>
      <c r="GW232" s="765"/>
      <c r="GX232" s="765"/>
      <c r="GY232" s="765"/>
      <c r="GZ232" s="765"/>
      <c r="HA232" s="765"/>
      <c r="HB232" s="765"/>
      <c r="HC232" s="765"/>
      <c r="HD232" s="765"/>
      <c r="HE232" s="765"/>
      <c r="HF232" s="765"/>
      <c r="HG232" s="765"/>
      <c r="HH232" s="765"/>
      <c r="HI232" s="765"/>
      <c r="HJ232" s="765"/>
      <c r="HK232" s="765"/>
      <c r="HL232" s="765"/>
      <c r="HM232" s="765"/>
      <c r="HN232" s="765"/>
      <c r="HO232" s="765"/>
      <c r="HP232" s="765"/>
      <c r="HQ232" s="765"/>
      <c r="HR232" s="765"/>
      <c r="HS232" s="765"/>
      <c r="HT232" s="765"/>
      <c r="HU232" s="765"/>
      <c r="HV232" s="765"/>
      <c r="HW232" s="765"/>
      <c r="HX232" s="765"/>
      <c r="HY232" s="765"/>
      <c r="HZ232" s="765"/>
      <c r="IA232" s="765"/>
      <c r="IB232" s="765"/>
      <c r="IC232" s="765"/>
      <c r="ID232" s="765"/>
      <c r="IE232" s="765"/>
      <c r="IF232" s="765"/>
      <c r="IG232" s="765"/>
      <c r="IH232" s="765"/>
      <c r="II232" s="765"/>
      <c r="IJ232" s="765"/>
      <c r="IK232" s="765"/>
      <c r="IL232" s="765"/>
      <c r="IM232" s="765"/>
      <c r="IN232" s="765"/>
      <c r="IO232" s="765"/>
      <c r="IP232" s="765"/>
      <c r="IQ232" s="765"/>
      <c r="IR232" s="765"/>
      <c r="IS232" s="765"/>
      <c r="IT232" s="765"/>
      <c r="IU232" s="765"/>
      <c r="IV232" s="765"/>
    </row>
    <row r="233" spans="1:256" s="766" customFormat="1" ht="15" customHeight="1" hidden="1">
      <c r="A233" s="765"/>
      <c r="B233" s="765"/>
      <c r="C233" s="765"/>
      <c r="D233" s="765"/>
      <c r="E233" s="765"/>
      <c r="F233" s="765"/>
      <c r="G233" s="765"/>
      <c r="H233" s="765"/>
      <c r="I233" s="765"/>
      <c r="J233" s="765"/>
      <c r="K233" s="765"/>
      <c r="L233" s="765"/>
      <c r="FK233" s="765"/>
      <c r="FL233" s="765"/>
      <c r="FM233" s="765"/>
      <c r="FN233" s="765"/>
      <c r="FO233" s="765"/>
      <c r="FP233" s="765"/>
      <c r="FQ233" s="765"/>
      <c r="FR233" s="765"/>
      <c r="FS233" s="765"/>
      <c r="FT233" s="765"/>
      <c r="FU233" s="765"/>
      <c r="FV233" s="765"/>
      <c r="FW233" s="765"/>
      <c r="FX233" s="765"/>
      <c r="FY233" s="765"/>
      <c r="FZ233" s="765"/>
      <c r="GA233" s="765"/>
      <c r="GB233" s="765"/>
      <c r="GC233" s="765"/>
      <c r="GD233" s="765"/>
      <c r="GE233" s="765"/>
      <c r="GF233" s="765"/>
      <c r="GG233" s="765"/>
      <c r="GH233" s="765"/>
      <c r="GI233" s="765"/>
      <c r="GJ233" s="765"/>
      <c r="GK233" s="765"/>
      <c r="GL233" s="765"/>
      <c r="GM233" s="765"/>
      <c r="GN233" s="765"/>
      <c r="GO233" s="765"/>
      <c r="GP233" s="765"/>
      <c r="GQ233" s="765"/>
      <c r="GR233" s="765"/>
      <c r="GS233" s="765"/>
      <c r="GT233" s="765"/>
      <c r="GU233" s="765"/>
      <c r="GV233" s="765"/>
      <c r="GW233" s="765"/>
      <c r="GX233" s="765"/>
      <c r="GY233" s="765"/>
      <c r="GZ233" s="765"/>
      <c r="HA233" s="765"/>
      <c r="HB233" s="765"/>
      <c r="HC233" s="765"/>
      <c r="HD233" s="765"/>
      <c r="HE233" s="765"/>
      <c r="HF233" s="765"/>
      <c r="HG233" s="765"/>
      <c r="HH233" s="765"/>
      <c r="HI233" s="765"/>
      <c r="HJ233" s="765"/>
      <c r="HK233" s="765"/>
      <c r="HL233" s="765"/>
      <c r="HM233" s="765"/>
      <c r="HN233" s="765"/>
      <c r="HO233" s="765"/>
      <c r="HP233" s="765"/>
      <c r="HQ233" s="765"/>
      <c r="HR233" s="765"/>
      <c r="HS233" s="765"/>
      <c r="HT233" s="765"/>
      <c r="HU233" s="765"/>
      <c r="HV233" s="765"/>
      <c r="HW233" s="765"/>
      <c r="HX233" s="765"/>
      <c r="HY233" s="765"/>
      <c r="HZ233" s="765"/>
      <c r="IA233" s="765"/>
      <c r="IB233" s="765"/>
      <c r="IC233" s="765"/>
      <c r="ID233" s="765"/>
      <c r="IE233" s="765"/>
      <c r="IF233" s="765"/>
      <c r="IG233" s="765"/>
      <c r="IH233" s="765"/>
      <c r="II233" s="765"/>
      <c r="IJ233" s="765"/>
      <c r="IK233" s="765"/>
      <c r="IL233" s="765"/>
      <c r="IM233" s="765"/>
      <c r="IN233" s="765"/>
      <c r="IO233" s="765"/>
      <c r="IP233" s="765"/>
      <c r="IQ233" s="765"/>
      <c r="IR233" s="765"/>
      <c r="IS233" s="765"/>
      <c r="IT233" s="765"/>
      <c r="IU233" s="765"/>
      <c r="IV233" s="765"/>
    </row>
    <row r="234" spans="1:256" s="766" customFormat="1" ht="15" customHeight="1" hidden="1">
      <c r="A234" s="765"/>
      <c r="B234" s="765"/>
      <c r="C234" s="765"/>
      <c r="D234" s="765"/>
      <c r="E234" s="765"/>
      <c r="F234" s="765"/>
      <c r="G234" s="765"/>
      <c r="H234" s="765"/>
      <c r="I234" s="765"/>
      <c r="J234" s="765"/>
      <c r="K234" s="765"/>
      <c r="L234" s="765"/>
      <c r="FK234" s="765"/>
      <c r="FL234" s="765"/>
      <c r="FM234" s="765"/>
      <c r="FN234" s="765"/>
      <c r="FO234" s="765"/>
      <c r="FP234" s="765"/>
      <c r="FQ234" s="765"/>
      <c r="FR234" s="765"/>
      <c r="FS234" s="765"/>
      <c r="FT234" s="765"/>
      <c r="FU234" s="765"/>
      <c r="FV234" s="765"/>
      <c r="FW234" s="765"/>
      <c r="FX234" s="765"/>
      <c r="FY234" s="765"/>
      <c r="FZ234" s="765"/>
      <c r="GA234" s="765"/>
      <c r="GB234" s="765"/>
      <c r="GC234" s="765"/>
      <c r="GD234" s="765"/>
      <c r="GE234" s="765"/>
      <c r="GF234" s="765"/>
      <c r="GG234" s="765"/>
      <c r="GH234" s="765"/>
      <c r="GI234" s="765"/>
      <c r="GJ234" s="765"/>
      <c r="GK234" s="765"/>
      <c r="GL234" s="765"/>
      <c r="GM234" s="765"/>
      <c r="GN234" s="765"/>
      <c r="GO234" s="765"/>
      <c r="GP234" s="765"/>
      <c r="GQ234" s="765"/>
      <c r="GR234" s="765"/>
      <c r="GS234" s="765"/>
      <c r="GT234" s="765"/>
      <c r="GU234" s="765"/>
      <c r="GV234" s="765"/>
      <c r="GW234" s="765"/>
      <c r="GX234" s="765"/>
      <c r="GY234" s="765"/>
      <c r="GZ234" s="765"/>
      <c r="HA234" s="765"/>
      <c r="HB234" s="765"/>
      <c r="HC234" s="765"/>
      <c r="HD234" s="765"/>
      <c r="HE234" s="765"/>
      <c r="HF234" s="765"/>
      <c r="HG234" s="765"/>
      <c r="HH234" s="765"/>
      <c r="HI234" s="765"/>
      <c r="HJ234" s="765"/>
      <c r="HK234" s="765"/>
      <c r="HL234" s="765"/>
      <c r="HM234" s="765"/>
      <c r="HN234" s="765"/>
      <c r="HO234" s="765"/>
      <c r="HP234" s="765"/>
      <c r="HQ234" s="765"/>
      <c r="HR234" s="765"/>
      <c r="HS234" s="765"/>
      <c r="HT234" s="765"/>
      <c r="HU234" s="765"/>
      <c r="HV234" s="765"/>
      <c r="HW234" s="765"/>
      <c r="HX234" s="765"/>
      <c r="HY234" s="765"/>
      <c r="HZ234" s="765"/>
      <c r="IA234" s="765"/>
      <c r="IB234" s="765"/>
      <c r="IC234" s="765"/>
      <c r="ID234" s="765"/>
      <c r="IE234" s="765"/>
      <c r="IF234" s="765"/>
      <c r="IG234" s="765"/>
      <c r="IH234" s="765"/>
      <c r="II234" s="765"/>
      <c r="IJ234" s="765"/>
      <c r="IK234" s="765"/>
      <c r="IL234" s="765"/>
      <c r="IM234" s="765"/>
      <c r="IN234" s="765"/>
      <c r="IO234" s="765"/>
      <c r="IP234" s="765"/>
      <c r="IQ234" s="765"/>
      <c r="IR234" s="765"/>
      <c r="IS234" s="765"/>
      <c r="IT234" s="765"/>
      <c r="IU234" s="765"/>
      <c r="IV234" s="765"/>
    </row>
    <row r="235" spans="1:256" s="766" customFormat="1" ht="15" customHeight="1" hidden="1">
      <c r="A235" s="765"/>
      <c r="B235" s="765"/>
      <c r="C235" s="765"/>
      <c r="D235" s="765"/>
      <c r="E235" s="765"/>
      <c r="F235" s="765"/>
      <c r="G235" s="765"/>
      <c r="H235" s="765"/>
      <c r="I235" s="765"/>
      <c r="J235" s="765"/>
      <c r="K235" s="765"/>
      <c r="L235" s="765"/>
      <c r="FK235" s="765"/>
      <c r="FL235" s="765"/>
      <c r="FM235" s="765"/>
      <c r="FN235" s="765"/>
      <c r="FO235" s="765"/>
      <c r="FP235" s="765"/>
      <c r="FQ235" s="765"/>
      <c r="FR235" s="765"/>
      <c r="FS235" s="765"/>
      <c r="FT235" s="765"/>
      <c r="FU235" s="765"/>
      <c r="FV235" s="765"/>
      <c r="FW235" s="765"/>
      <c r="FX235" s="765"/>
      <c r="FY235" s="765"/>
      <c r="FZ235" s="765"/>
      <c r="GA235" s="765"/>
      <c r="GB235" s="765"/>
      <c r="GC235" s="765"/>
      <c r="GD235" s="765"/>
      <c r="GE235" s="765"/>
      <c r="GF235" s="765"/>
      <c r="GG235" s="765"/>
      <c r="GH235" s="765"/>
      <c r="GI235" s="765"/>
      <c r="GJ235" s="765"/>
      <c r="GK235" s="765"/>
      <c r="GL235" s="765"/>
      <c r="GM235" s="765"/>
      <c r="GN235" s="765"/>
      <c r="GO235" s="765"/>
      <c r="GP235" s="765"/>
      <c r="GQ235" s="765"/>
      <c r="GR235" s="765"/>
      <c r="GS235" s="765"/>
      <c r="GT235" s="765"/>
      <c r="GU235" s="765"/>
      <c r="GV235" s="765"/>
      <c r="GW235" s="765"/>
      <c r="GX235" s="765"/>
      <c r="GY235" s="765"/>
      <c r="GZ235" s="765"/>
      <c r="HA235" s="765"/>
      <c r="HB235" s="765"/>
      <c r="HC235" s="765"/>
      <c r="HD235" s="765"/>
      <c r="HE235" s="765"/>
      <c r="HF235" s="765"/>
      <c r="HG235" s="765"/>
      <c r="HH235" s="765"/>
      <c r="HI235" s="765"/>
      <c r="HJ235" s="765"/>
      <c r="HK235" s="765"/>
      <c r="HL235" s="765"/>
      <c r="HM235" s="765"/>
      <c r="HN235" s="765"/>
      <c r="HO235" s="765"/>
      <c r="HP235" s="765"/>
      <c r="HQ235" s="765"/>
      <c r="HR235" s="765"/>
      <c r="HS235" s="765"/>
      <c r="HT235" s="765"/>
      <c r="HU235" s="765"/>
      <c r="HV235" s="765"/>
      <c r="HW235" s="765"/>
      <c r="HX235" s="765"/>
      <c r="HY235" s="765"/>
      <c r="HZ235" s="765"/>
      <c r="IA235" s="765"/>
      <c r="IB235" s="765"/>
      <c r="IC235" s="765"/>
      <c r="ID235" s="765"/>
      <c r="IE235" s="765"/>
      <c r="IF235" s="765"/>
      <c r="IG235" s="765"/>
      <c r="IH235" s="765"/>
      <c r="II235" s="765"/>
      <c r="IJ235" s="765"/>
      <c r="IK235" s="765"/>
      <c r="IL235" s="765"/>
      <c r="IM235" s="765"/>
      <c r="IN235" s="765"/>
      <c r="IO235" s="765"/>
      <c r="IP235" s="765"/>
      <c r="IQ235" s="765"/>
      <c r="IR235" s="765"/>
      <c r="IS235" s="765"/>
      <c r="IT235" s="765"/>
      <c r="IU235" s="765"/>
      <c r="IV235" s="765"/>
    </row>
    <row r="236" spans="1:256" s="766" customFormat="1" ht="27.75" customHeight="1" hidden="1">
      <c r="A236" s="765"/>
      <c r="B236" s="765"/>
      <c r="C236" s="765"/>
      <c r="D236" s="765"/>
      <c r="E236" s="769" t="s">
        <v>710</v>
      </c>
      <c r="F236" s="769" t="s">
        <v>711</v>
      </c>
      <c r="H236" s="765"/>
      <c r="FK236" s="765"/>
      <c r="FL236" s="765"/>
      <c r="FM236" s="765"/>
      <c r="FN236" s="765"/>
      <c r="FO236" s="765"/>
      <c r="FP236" s="765"/>
      <c r="FQ236" s="765"/>
      <c r="FR236" s="765"/>
      <c r="FS236" s="765"/>
      <c r="FT236" s="765"/>
      <c r="FU236" s="765"/>
      <c r="FV236" s="765"/>
      <c r="FW236" s="765"/>
      <c r="FX236" s="765"/>
      <c r="FY236" s="765"/>
      <c r="FZ236" s="765"/>
      <c r="GA236" s="765"/>
      <c r="GB236" s="765"/>
      <c r="GC236" s="765"/>
      <c r="GD236" s="765"/>
      <c r="GE236" s="765"/>
      <c r="GF236" s="765"/>
      <c r="GG236" s="765"/>
      <c r="GH236" s="765"/>
      <c r="GI236" s="765"/>
      <c r="GJ236" s="765"/>
      <c r="GK236" s="765"/>
      <c r="GL236" s="765"/>
      <c r="GM236" s="765"/>
      <c r="GN236" s="765"/>
      <c r="GO236" s="765"/>
      <c r="GP236" s="765"/>
      <c r="GQ236" s="765"/>
      <c r="GR236" s="765"/>
      <c r="GS236" s="765"/>
      <c r="GT236" s="765"/>
      <c r="GU236" s="765"/>
      <c r="GV236" s="765"/>
      <c r="GW236" s="765"/>
      <c r="GX236" s="765"/>
      <c r="GY236" s="765"/>
      <c r="GZ236" s="765"/>
      <c r="HA236" s="765"/>
      <c r="HB236" s="765"/>
      <c r="HC236" s="765"/>
      <c r="HD236" s="765"/>
      <c r="HE236" s="765"/>
      <c r="HF236" s="765"/>
      <c r="HG236" s="765"/>
      <c r="HH236" s="765"/>
      <c r="HI236" s="765"/>
      <c r="HJ236" s="765"/>
      <c r="HK236" s="765"/>
      <c r="HL236" s="765"/>
      <c r="HM236" s="765"/>
      <c r="HN236" s="765"/>
      <c r="HO236" s="765"/>
      <c r="HP236" s="765"/>
      <c r="HQ236" s="765"/>
      <c r="HR236" s="765"/>
      <c r="HS236" s="765"/>
      <c r="HT236" s="765"/>
      <c r="HU236" s="765"/>
      <c r="HV236" s="765"/>
      <c r="HW236" s="765"/>
      <c r="HX236" s="765"/>
      <c r="HY236" s="765"/>
      <c r="HZ236" s="765"/>
      <c r="IA236" s="765"/>
      <c r="IB236" s="765"/>
      <c r="IC236" s="765"/>
      <c r="ID236" s="765"/>
      <c r="IE236" s="765"/>
      <c r="IF236" s="765"/>
      <c r="IG236" s="765"/>
      <c r="IH236" s="765"/>
      <c r="II236" s="765"/>
      <c r="IJ236" s="765"/>
      <c r="IK236" s="765"/>
      <c r="IL236" s="765"/>
      <c r="IM236" s="765"/>
      <c r="IN236" s="765"/>
      <c r="IO236" s="765"/>
      <c r="IP236" s="765"/>
      <c r="IQ236" s="765"/>
      <c r="IR236" s="765"/>
      <c r="IS236" s="765"/>
      <c r="IT236" s="765"/>
      <c r="IU236" s="765"/>
      <c r="IV236" s="765"/>
    </row>
    <row r="237" spans="1:256" s="766" customFormat="1" ht="34.5" customHeight="1" hidden="1">
      <c r="A237" s="765"/>
      <c r="B237" s="765"/>
      <c r="C237" s="765"/>
      <c r="D237" s="765"/>
      <c r="E237" s="770">
        <f>M28</f>
        <v>23283</v>
      </c>
      <c r="F237" s="771" t="str">
        <f>IF(E237="","",CONCATENATE("(",U237," rupees only)"))</f>
        <v>(Two Thousand Four Hundred and Fifty seven rupees only)</v>
      </c>
      <c r="G237" s="765">
        <v>0</v>
      </c>
      <c r="H237" s="765">
        <v>2</v>
      </c>
      <c r="I237" s="765">
        <v>4</v>
      </c>
      <c r="J237" s="765">
        <v>57</v>
      </c>
      <c r="K237" s="765"/>
      <c r="L237" s="765" t="s">
        <v>612</v>
      </c>
      <c r="M237" s="766" t="s">
        <v>614</v>
      </c>
      <c r="N237" s="766" t="s">
        <v>667</v>
      </c>
      <c r="O237" s="766">
        <v>2</v>
      </c>
      <c r="P237" s="766">
        <v>4</v>
      </c>
      <c r="Q237" s="766">
        <v>6</v>
      </c>
      <c r="S237" s="766" t="s">
        <v>712</v>
      </c>
      <c r="T237" s="766" t="s">
        <v>713</v>
      </c>
      <c r="U237" s="772" t="s">
        <v>714</v>
      </c>
      <c r="FK237" s="765"/>
      <c r="FL237" s="765"/>
      <c r="FM237" s="765"/>
      <c r="FN237" s="765"/>
      <c r="FO237" s="765"/>
      <c r="FP237" s="765"/>
      <c r="FQ237" s="765"/>
      <c r="FR237" s="765"/>
      <c r="FS237" s="765"/>
      <c r="FT237" s="765"/>
      <c r="FU237" s="765"/>
      <c r="FV237" s="765"/>
      <c r="FW237" s="765"/>
      <c r="FX237" s="765"/>
      <c r="FY237" s="765"/>
      <c r="FZ237" s="765"/>
      <c r="GA237" s="765"/>
      <c r="GB237" s="765"/>
      <c r="GC237" s="765"/>
      <c r="GD237" s="765"/>
      <c r="GE237" s="765"/>
      <c r="GF237" s="765"/>
      <c r="GG237" s="765"/>
      <c r="GH237" s="765"/>
      <c r="GI237" s="765"/>
      <c r="GJ237" s="765"/>
      <c r="GK237" s="765"/>
      <c r="GL237" s="765"/>
      <c r="GM237" s="765"/>
      <c r="GN237" s="765"/>
      <c r="GO237" s="765"/>
      <c r="GP237" s="765"/>
      <c r="GQ237" s="765"/>
      <c r="GR237" s="765"/>
      <c r="GS237" s="765"/>
      <c r="GT237" s="765"/>
      <c r="GU237" s="765"/>
      <c r="GV237" s="765"/>
      <c r="GW237" s="765"/>
      <c r="GX237" s="765"/>
      <c r="GY237" s="765"/>
      <c r="GZ237" s="765"/>
      <c r="HA237" s="765"/>
      <c r="HB237" s="765"/>
      <c r="HC237" s="765"/>
      <c r="HD237" s="765"/>
      <c r="HE237" s="765"/>
      <c r="HF237" s="765"/>
      <c r="HG237" s="765"/>
      <c r="HH237" s="765"/>
      <c r="HI237" s="765"/>
      <c r="HJ237" s="765"/>
      <c r="HK237" s="765"/>
      <c r="HL237" s="765"/>
      <c r="HM237" s="765"/>
      <c r="HN237" s="765"/>
      <c r="HO237" s="765"/>
      <c r="HP237" s="765"/>
      <c r="HQ237" s="765"/>
      <c r="HR237" s="765"/>
      <c r="HS237" s="765"/>
      <c r="HT237" s="765"/>
      <c r="HU237" s="765"/>
      <c r="HV237" s="765"/>
      <c r="HW237" s="765"/>
      <c r="HX237" s="765"/>
      <c r="HY237" s="765"/>
      <c r="HZ237" s="765"/>
      <c r="IA237" s="765"/>
      <c r="IB237" s="765"/>
      <c r="IC237" s="765"/>
      <c r="ID237" s="765"/>
      <c r="IE237" s="765"/>
      <c r="IF237" s="765"/>
      <c r="IG237" s="765"/>
      <c r="IH237" s="765"/>
      <c r="II237" s="765"/>
      <c r="IJ237" s="765"/>
      <c r="IK237" s="765"/>
      <c r="IL237" s="765"/>
      <c r="IM237" s="765"/>
      <c r="IN237" s="765"/>
      <c r="IO237" s="765"/>
      <c r="IP237" s="765"/>
      <c r="IQ237" s="765"/>
      <c r="IR237" s="765"/>
      <c r="IS237" s="765"/>
      <c r="IT237" s="765"/>
      <c r="IU237" s="765"/>
      <c r="IV237" s="765"/>
    </row>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sheetData>
  <sheetProtection selectLockedCells="1" selectUnlockedCells="1"/>
  <mergeCells count="64">
    <mergeCell ref="B60:C60"/>
    <mergeCell ref="D60:E60"/>
    <mergeCell ref="R227:S227"/>
    <mergeCell ref="C47:D47"/>
    <mergeCell ref="H47:I47"/>
    <mergeCell ref="L47:M47"/>
    <mergeCell ref="H48:I48"/>
    <mergeCell ref="B49:M53"/>
    <mergeCell ref="B59:C59"/>
    <mergeCell ref="C45:D45"/>
    <mergeCell ref="H45:I45"/>
    <mergeCell ref="L45:M45"/>
    <mergeCell ref="C46:D46"/>
    <mergeCell ref="H46:I46"/>
    <mergeCell ref="L46:M46"/>
    <mergeCell ref="C43:D43"/>
    <mergeCell ref="H43:I43"/>
    <mergeCell ref="L43:M43"/>
    <mergeCell ref="C44:D44"/>
    <mergeCell ref="H44:I44"/>
    <mergeCell ref="L44:M44"/>
    <mergeCell ref="C41:D41"/>
    <mergeCell ref="H41:I41"/>
    <mergeCell ref="L41:M41"/>
    <mergeCell ref="C42:D42"/>
    <mergeCell ref="H42:I42"/>
    <mergeCell ref="L42:M42"/>
    <mergeCell ref="C39:D39"/>
    <mergeCell ref="H39:I39"/>
    <mergeCell ref="L39:M39"/>
    <mergeCell ref="C40:D40"/>
    <mergeCell ref="H40:I40"/>
    <mergeCell ref="L40:M40"/>
    <mergeCell ref="C37:D37"/>
    <mergeCell ref="H37:I37"/>
    <mergeCell ref="L37:M37"/>
    <mergeCell ref="C38:D38"/>
    <mergeCell ref="H38:I38"/>
    <mergeCell ref="L38:M38"/>
    <mergeCell ref="C35:D35"/>
    <mergeCell ref="H35:I35"/>
    <mergeCell ref="L35:M35"/>
    <mergeCell ref="C36:D36"/>
    <mergeCell ref="H36:I36"/>
    <mergeCell ref="L36:M36"/>
    <mergeCell ref="D27:I27"/>
    <mergeCell ref="C28:G28"/>
    <mergeCell ref="B31:M31"/>
    <mergeCell ref="B32:M32"/>
    <mergeCell ref="C34:D34"/>
    <mergeCell ref="H34:I34"/>
    <mergeCell ref="L34:M34"/>
    <mergeCell ref="C19:I19"/>
    <mergeCell ref="C22:I22"/>
    <mergeCell ref="C23:I23"/>
    <mergeCell ref="C24:I24"/>
    <mergeCell ref="C25:I25"/>
    <mergeCell ref="D26:I26"/>
    <mergeCell ref="C2:G2"/>
    <mergeCell ref="H2:I2"/>
    <mergeCell ref="C3:G3"/>
    <mergeCell ref="H3:I3"/>
    <mergeCell ref="C15:I15"/>
    <mergeCell ref="C17:I17"/>
  </mergeCells>
  <hyperlinks>
    <hyperlink ref="G63" r:id="rId1" display="www.stuapkurnool.blogspot.com"/>
  </hyperlinks>
  <printOptions horizontalCentered="1" verticalCentered="1"/>
  <pageMargins left="0.30972222222222223" right="0.30972222222222223" top="0.42986111111111114" bottom="0.32013888888888886" header="0.5118055555555555" footer="0.5118055555555555"/>
  <pageSetup horizontalDpi="300" verticalDpi="300" orientation="portrait" paperSize="9" scale="90"/>
  <drawing r:id="rId2"/>
</worksheet>
</file>

<file path=xl/worksheets/sheet9.xml><?xml version="1.0" encoding="utf-8"?>
<worksheet xmlns="http://schemas.openxmlformats.org/spreadsheetml/2006/main" xmlns:r="http://schemas.openxmlformats.org/officeDocument/2006/relationships">
  <sheetPr>
    <tabColor indexed="29"/>
  </sheetPr>
  <dimension ref="A1:AD68"/>
  <sheetViews>
    <sheetView showGridLines="0" zoomScalePageLayoutView="0" workbookViewId="0" topLeftCell="A1">
      <selection activeCell="AC17" sqref="AC17"/>
    </sheetView>
  </sheetViews>
  <sheetFormatPr defaultColWidth="0" defaultRowHeight="12.75" customHeight="1" zeroHeight="1"/>
  <cols>
    <col min="1" max="1" width="3.57421875" style="65" customWidth="1"/>
    <col min="2" max="6" width="3.7109375" style="65" customWidth="1"/>
    <col min="7" max="7" width="2.7109375" style="65" customWidth="1"/>
    <col min="8" max="16" width="3.7109375" style="65" customWidth="1"/>
    <col min="17" max="17" width="3.140625" style="65" customWidth="1"/>
    <col min="18" max="24" width="3.7109375" style="65" customWidth="1"/>
    <col min="25" max="25" width="3.00390625" style="65" customWidth="1"/>
    <col min="26" max="26" width="1.8515625" style="65" customWidth="1"/>
    <col min="27" max="27" width="3.421875" style="65" customWidth="1"/>
    <col min="28" max="28" width="13.57421875" style="65" customWidth="1"/>
    <col min="29" max="29" width="21.7109375" style="65" customWidth="1"/>
    <col min="30" max="16384" width="0" style="0" hidden="1" customWidth="1"/>
  </cols>
  <sheetData>
    <row r="1" spans="1:29" s="173" customFormat="1" ht="15" customHeight="1">
      <c r="A1" s="65"/>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row>
    <row r="2" spans="1:29" s="173" customFormat="1" ht="15" customHeight="1">
      <c r="A2" s="65"/>
      <c r="B2" s="773"/>
      <c r="C2" s="774"/>
      <c r="D2" s="774"/>
      <c r="E2" s="775"/>
      <c r="F2" s="775"/>
      <c r="G2" s="775"/>
      <c r="H2" s="775"/>
      <c r="I2" s="775"/>
      <c r="J2" s="775"/>
      <c r="K2" s="775"/>
      <c r="L2" s="775"/>
      <c r="M2" s="775"/>
      <c r="N2" s="775"/>
      <c r="O2" s="775"/>
      <c r="P2" s="775"/>
      <c r="Q2" s="775"/>
      <c r="R2" s="775"/>
      <c r="S2" s="775"/>
      <c r="T2" s="775"/>
      <c r="U2" s="775"/>
      <c r="V2" s="775"/>
      <c r="W2" s="775"/>
      <c r="X2" s="775"/>
      <c r="Y2" s="775"/>
      <c r="Z2" s="776"/>
      <c r="AA2" s="65"/>
      <c r="AB2" s="65"/>
      <c r="AC2" s="65"/>
    </row>
    <row r="3" spans="1:29" s="173" customFormat="1" ht="15" customHeight="1">
      <c r="A3" s="65"/>
      <c r="B3" s="777"/>
      <c r="C3" s="778"/>
      <c r="D3" s="778"/>
      <c r="E3" s="124"/>
      <c r="F3" s="124"/>
      <c r="G3" s="124"/>
      <c r="H3" s="124"/>
      <c r="I3" s="124"/>
      <c r="J3" s="124"/>
      <c r="K3" s="124"/>
      <c r="L3" s="124"/>
      <c r="M3" s="124"/>
      <c r="N3" s="124"/>
      <c r="O3" s="124"/>
      <c r="P3" s="124"/>
      <c r="Q3" s="124"/>
      <c r="R3" s="124"/>
      <c r="S3" s="124"/>
      <c r="T3" s="124"/>
      <c r="U3" s="124"/>
      <c r="V3" s="124"/>
      <c r="W3" s="124"/>
      <c r="X3" s="124"/>
      <c r="Y3" s="124"/>
      <c r="Z3" s="196"/>
      <c r="AA3" s="65"/>
      <c r="AB3" s="65"/>
      <c r="AC3" s="65"/>
    </row>
    <row r="4" spans="1:29" s="173" customFormat="1" ht="18.75" customHeight="1">
      <c r="A4" s="65"/>
      <c r="B4" s="1087" t="s">
        <v>715</v>
      </c>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65"/>
      <c r="AB4" s="65"/>
      <c r="AC4" s="779"/>
    </row>
    <row r="5" spans="1:29" s="173" customFormat="1" ht="15.75" customHeight="1">
      <c r="A5" s="65"/>
      <c r="B5" s="1088" t="s">
        <v>716</v>
      </c>
      <c r="C5" s="1088"/>
      <c r="D5" s="1088"/>
      <c r="E5" s="1088"/>
      <c r="F5" s="1088"/>
      <c r="G5" s="1088"/>
      <c r="H5" s="1088"/>
      <c r="I5" s="1088"/>
      <c r="J5" s="1088"/>
      <c r="K5" s="1088"/>
      <c r="L5" s="1088"/>
      <c r="M5" s="1088"/>
      <c r="N5" s="1088"/>
      <c r="O5" s="1088"/>
      <c r="P5" s="1088"/>
      <c r="Q5" s="1088"/>
      <c r="R5" s="1088"/>
      <c r="S5" s="1088"/>
      <c r="T5" s="1088"/>
      <c r="U5" s="1088"/>
      <c r="V5" s="1088"/>
      <c r="W5" s="1088"/>
      <c r="X5" s="1088"/>
      <c r="Y5" s="1088"/>
      <c r="Z5" s="1088"/>
      <c r="AA5" s="65"/>
      <c r="AB5" s="65"/>
      <c r="AC5" s="65"/>
    </row>
    <row r="6" spans="1:29" s="173" customFormat="1" ht="15" customHeight="1">
      <c r="A6" s="65"/>
      <c r="B6" s="780"/>
      <c r="C6" s="781"/>
      <c r="D6" s="781"/>
      <c r="E6" s="781"/>
      <c r="F6" s="781"/>
      <c r="G6" s="781"/>
      <c r="H6" s="781"/>
      <c r="I6" s="781"/>
      <c r="J6" s="781"/>
      <c r="K6" s="781"/>
      <c r="L6" s="781"/>
      <c r="M6" s="781"/>
      <c r="N6" s="781"/>
      <c r="O6" s="781"/>
      <c r="P6" s="781"/>
      <c r="Q6" s="781"/>
      <c r="R6" s="781"/>
      <c r="S6" s="781"/>
      <c r="T6" s="781"/>
      <c r="U6" s="781"/>
      <c r="V6" s="781"/>
      <c r="W6" s="781"/>
      <c r="X6" s="781"/>
      <c r="Y6" s="782"/>
      <c r="Z6" s="783"/>
      <c r="AA6" s="65"/>
      <c r="AB6" s="65"/>
      <c r="AC6" s="65"/>
    </row>
    <row r="7" spans="1:29" s="173" customFormat="1" ht="15" customHeight="1">
      <c r="A7" s="65"/>
      <c r="B7" s="784"/>
      <c r="C7" s="785"/>
      <c r="D7" s="786"/>
      <c r="E7" s="782"/>
      <c r="F7" s="782"/>
      <c r="G7" s="782"/>
      <c r="H7" s="782"/>
      <c r="I7" s="782"/>
      <c r="J7" s="782"/>
      <c r="K7" s="782"/>
      <c r="L7" s="782"/>
      <c r="M7" s="782"/>
      <c r="N7" s="782"/>
      <c r="O7" s="782"/>
      <c r="P7" s="782"/>
      <c r="Q7" s="782"/>
      <c r="R7" s="782"/>
      <c r="S7" s="782"/>
      <c r="T7" s="782"/>
      <c r="U7" s="782"/>
      <c r="V7" s="782"/>
      <c r="W7" s="782"/>
      <c r="X7" s="782"/>
      <c r="Y7" s="782"/>
      <c r="Z7" s="783"/>
      <c r="AA7" s="65"/>
      <c r="AB7" s="65"/>
      <c r="AC7" s="65"/>
    </row>
    <row r="8" spans="1:29" s="173" customFormat="1" ht="15" customHeight="1">
      <c r="A8" s="65"/>
      <c r="B8" s="787"/>
      <c r="C8" s="1089" t="str">
        <f>"                       This is to certify that  "&amp;('it pro'!R28)&amp;" "&amp;('it data'!B5)&amp;"  "&amp;('it data'!E5)&amp;", "&amp;('it data'!B6)&amp;",       has paid an amount of  (House Rent Annual amount) Rs."&amp;('it pro'!K164)&amp;" "&amp;('RUPEES CONVERSATION'!B34)&amp;"  towards the rent  @  "&amp;('it pro'!J164)&amp;" per month from "&amp;('ITAnnexure-I'!B4)&amp;" to "&amp;('ITAnnexure-I'!B15)&amp;"  in respect of House No. "&amp;(AC14)&amp;"  situated at     "&amp;(AC15)&amp;"  Mdl:  "&amp;(AC16)&amp;"  Dist:  "&amp;(AC17)&amp;" "</f>
        <v>                       This is to certify that  Sri. G.NAGENDRA KUMAR  SA , MPUPS,,       has paid an amount of  (House Rent Annual amount) Rs.75600 (Seventy five Thousand Six Hundred rupees only)  towards the rent  @  6300 per month from Mar-2014 to Feb-2015  in respect of House No.    situated at        Mdl:     Dist:    </v>
      </c>
      <c r="D8" s="1089"/>
      <c r="E8" s="1089"/>
      <c r="F8" s="1089"/>
      <c r="G8" s="1089"/>
      <c r="H8" s="1089"/>
      <c r="I8" s="1089"/>
      <c r="J8" s="1089"/>
      <c r="K8" s="1089"/>
      <c r="L8" s="1089"/>
      <c r="M8" s="1089"/>
      <c r="N8" s="1089"/>
      <c r="O8" s="1089"/>
      <c r="P8" s="1089"/>
      <c r="Q8" s="1089"/>
      <c r="R8" s="1089"/>
      <c r="S8" s="1089"/>
      <c r="T8" s="1089"/>
      <c r="U8" s="1089"/>
      <c r="V8" s="1089"/>
      <c r="W8" s="1089"/>
      <c r="X8" s="1089"/>
      <c r="Y8" s="788"/>
      <c r="Z8" s="783"/>
      <c r="AA8" s="65"/>
      <c r="AB8" s="65"/>
      <c r="AC8" s="65"/>
    </row>
    <row r="9" spans="1:29" s="173" customFormat="1" ht="15" customHeight="1">
      <c r="A9" s="65"/>
      <c r="B9" s="787"/>
      <c r="C9" s="1089"/>
      <c r="D9" s="1089"/>
      <c r="E9" s="1089"/>
      <c r="F9" s="1089"/>
      <c r="G9" s="1089"/>
      <c r="H9" s="1089"/>
      <c r="I9" s="1089"/>
      <c r="J9" s="1089"/>
      <c r="K9" s="1089"/>
      <c r="L9" s="1089"/>
      <c r="M9" s="1089"/>
      <c r="N9" s="1089"/>
      <c r="O9" s="1089"/>
      <c r="P9" s="1089"/>
      <c r="Q9" s="1089"/>
      <c r="R9" s="1089"/>
      <c r="S9" s="1089"/>
      <c r="T9" s="1089"/>
      <c r="U9" s="1089"/>
      <c r="V9" s="1089"/>
      <c r="W9" s="1089"/>
      <c r="X9" s="1089"/>
      <c r="Y9" s="789"/>
      <c r="Z9" s="783"/>
      <c r="AA9" s="65"/>
      <c r="AB9" s="1090" t="s">
        <v>717</v>
      </c>
      <c r="AC9" s="1090"/>
    </row>
    <row r="10" spans="1:29" s="173" customFormat="1" ht="23.25" customHeight="1">
      <c r="A10" s="65"/>
      <c r="B10" s="787"/>
      <c r="C10" s="1089"/>
      <c r="D10" s="1089"/>
      <c r="E10" s="1089"/>
      <c r="F10" s="1089"/>
      <c r="G10" s="1089"/>
      <c r="H10" s="1089"/>
      <c r="I10" s="1089"/>
      <c r="J10" s="1089"/>
      <c r="K10" s="1089"/>
      <c r="L10" s="1089"/>
      <c r="M10" s="1089"/>
      <c r="N10" s="1089"/>
      <c r="O10" s="1089"/>
      <c r="P10" s="1089"/>
      <c r="Q10" s="1089"/>
      <c r="R10" s="1089"/>
      <c r="S10" s="1089"/>
      <c r="T10" s="1089"/>
      <c r="U10" s="1089"/>
      <c r="V10" s="1089"/>
      <c r="W10" s="1089"/>
      <c r="X10" s="1089"/>
      <c r="Y10" s="789"/>
      <c r="Z10" s="783"/>
      <c r="AA10" s="65"/>
      <c r="AB10" s="1090"/>
      <c r="AC10" s="1090"/>
    </row>
    <row r="11" spans="1:30" s="173" customFormat="1" ht="15" customHeight="1">
      <c r="A11" s="65"/>
      <c r="B11" s="790"/>
      <c r="C11" s="1089"/>
      <c r="D11" s="1089"/>
      <c r="E11" s="1089"/>
      <c r="F11" s="1089"/>
      <c r="G11" s="1089"/>
      <c r="H11" s="1089"/>
      <c r="I11" s="1089"/>
      <c r="J11" s="1089"/>
      <c r="K11" s="1089"/>
      <c r="L11" s="1089"/>
      <c r="M11" s="1089"/>
      <c r="N11" s="1089"/>
      <c r="O11" s="1089"/>
      <c r="P11" s="1089"/>
      <c r="Q11" s="1089"/>
      <c r="R11" s="1089"/>
      <c r="S11" s="1089"/>
      <c r="T11" s="1089"/>
      <c r="U11" s="1089"/>
      <c r="V11" s="1089"/>
      <c r="W11" s="1089"/>
      <c r="X11" s="1089"/>
      <c r="Y11" s="791"/>
      <c r="Z11" s="783"/>
      <c r="AA11" s="65"/>
      <c r="AB11" s="1090"/>
      <c r="AC11" s="1090"/>
      <c r="AD11" s="173" t="s">
        <v>718</v>
      </c>
    </row>
    <row r="12" spans="1:29" s="173" customFormat="1" ht="6.75" customHeight="1">
      <c r="A12" s="65"/>
      <c r="B12" s="780"/>
      <c r="C12" s="1089"/>
      <c r="D12" s="1089"/>
      <c r="E12" s="1089"/>
      <c r="F12" s="1089"/>
      <c r="G12" s="1089"/>
      <c r="H12" s="1089"/>
      <c r="I12" s="1089"/>
      <c r="J12" s="1089"/>
      <c r="K12" s="1089"/>
      <c r="L12" s="1089"/>
      <c r="M12" s="1089"/>
      <c r="N12" s="1089"/>
      <c r="O12" s="1089"/>
      <c r="P12" s="1089"/>
      <c r="Q12" s="1089"/>
      <c r="R12" s="1089"/>
      <c r="S12" s="1089"/>
      <c r="T12" s="1089"/>
      <c r="U12" s="1089"/>
      <c r="V12" s="1089"/>
      <c r="W12" s="1089"/>
      <c r="X12" s="1089"/>
      <c r="Y12" s="782"/>
      <c r="Z12" s="783"/>
      <c r="AA12" s="65"/>
      <c r="AB12" s="792"/>
      <c r="AC12" s="792"/>
    </row>
    <row r="13" spans="1:29" s="173" customFormat="1" ht="25.5" customHeight="1">
      <c r="A13" s="65"/>
      <c r="B13" s="784"/>
      <c r="C13" s="1089"/>
      <c r="D13" s="1089"/>
      <c r="E13" s="1089"/>
      <c r="F13" s="1089"/>
      <c r="G13" s="1089"/>
      <c r="H13" s="1089"/>
      <c r="I13" s="1089"/>
      <c r="J13" s="1089"/>
      <c r="K13" s="1089"/>
      <c r="L13" s="1089"/>
      <c r="M13" s="1089"/>
      <c r="N13" s="1089"/>
      <c r="O13" s="1089"/>
      <c r="P13" s="1089"/>
      <c r="Q13" s="1089"/>
      <c r="R13" s="1089"/>
      <c r="S13" s="1089"/>
      <c r="T13" s="1089"/>
      <c r="U13" s="1089"/>
      <c r="V13" s="1089"/>
      <c r="W13" s="1089"/>
      <c r="X13" s="1089"/>
      <c r="Y13" s="782"/>
      <c r="Z13" s="783"/>
      <c r="AA13" s="65"/>
      <c r="AB13" s="793" t="s">
        <v>719</v>
      </c>
      <c r="AC13" s="870" t="s">
        <v>926</v>
      </c>
    </row>
    <row r="14" spans="1:29" s="173" customFormat="1" ht="18.75" customHeight="1">
      <c r="A14" s="65"/>
      <c r="B14" s="780"/>
      <c r="C14" s="781"/>
      <c r="D14" s="781"/>
      <c r="E14" s="781"/>
      <c r="F14" s="781"/>
      <c r="G14" s="781"/>
      <c r="H14" s="781"/>
      <c r="I14" s="781"/>
      <c r="J14" s="781"/>
      <c r="K14" s="781"/>
      <c r="L14" s="781"/>
      <c r="M14" s="781"/>
      <c r="N14" s="781"/>
      <c r="O14" s="781"/>
      <c r="P14" s="781"/>
      <c r="Q14" s="781"/>
      <c r="R14" s="781"/>
      <c r="S14" s="781"/>
      <c r="T14" s="781"/>
      <c r="U14" s="781"/>
      <c r="V14" s="781"/>
      <c r="W14" s="781"/>
      <c r="X14" s="781"/>
      <c r="Y14" s="782"/>
      <c r="Z14" s="783"/>
      <c r="AA14" s="65"/>
      <c r="AB14" s="794" t="s">
        <v>720</v>
      </c>
      <c r="AC14" s="871" t="s">
        <v>926</v>
      </c>
    </row>
    <row r="15" spans="1:29" s="173" customFormat="1" ht="21" customHeight="1">
      <c r="A15" s="65"/>
      <c r="B15" s="784"/>
      <c r="C15" s="795"/>
      <c r="D15" s="786"/>
      <c r="E15" s="782"/>
      <c r="F15" s="782"/>
      <c r="G15" s="782"/>
      <c r="H15" s="782"/>
      <c r="I15" s="782"/>
      <c r="J15" s="782"/>
      <c r="K15" s="782"/>
      <c r="L15" s="782"/>
      <c r="M15" s="782"/>
      <c r="N15" s="782"/>
      <c r="O15" s="782"/>
      <c r="P15" s="782"/>
      <c r="Q15" s="782"/>
      <c r="R15" s="782"/>
      <c r="S15" s="782"/>
      <c r="T15" s="782"/>
      <c r="U15" s="782"/>
      <c r="V15" s="782"/>
      <c r="W15" s="782"/>
      <c r="X15" s="782"/>
      <c r="Y15" s="782"/>
      <c r="Z15" s="783"/>
      <c r="AA15" s="65"/>
      <c r="AB15" s="794" t="s">
        <v>721</v>
      </c>
      <c r="AC15" s="872" t="s">
        <v>926</v>
      </c>
    </row>
    <row r="16" spans="1:29" s="173" customFormat="1" ht="19.5" customHeight="1">
      <c r="A16" s="65"/>
      <c r="B16" s="784"/>
      <c r="C16" s="795"/>
      <c r="D16" s="786"/>
      <c r="E16" s="782"/>
      <c r="F16" s="782"/>
      <c r="G16" s="782"/>
      <c r="H16" s="782"/>
      <c r="I16" s="782"/>
      <c r="J16" s="782"/>
      <c r="K16" s="782"/>
      <c r="L16" s="782"/>
      <c r="M16" s="782"/>
      <c r="N16" s="782"/>
      <c r="O16" s="782"/>
      <c r="P16" s="782"/>
      <c r="Q16" s="782"/>
      <c r="R16" s="782"/>
      <c r="S16" s="782"/>
      <c r="T16" s="782"/>
      <c r="U16" s="782"/>
      <c r="V16" s="782"/>
      <c r="W16" s="782"/>
      <c r="X16" s="782"/>
      <c r="Y16" s="782"/>
      <c r="Z16" s="783"/>
      <c r="AA16" s="65"/>
      <c r="AB16" s="794" t="s">
        <v>722</v>
      </c>
      <c r="AC16" s="873" t="s">
        <v>926</v>
      </c>
    </row>
    <row r="17" spans="1:29" s="173" customFormat="1" ht="22.5" customHeight="1">
      <c r="A17" s="65"/>
      <c r="B17" s="796" t="s">
        <v>723</v>
      </c>
      <c r="C17" s="795"/>
      <c r="D17" s="786"/>
      <c r="E17" s="782"/>
      <c r="F17" s="782"/>
      <c r="G17" s="782"/>
      <c r="H17" s="782"/>
      <c r="I17" s="782"/>
      <c r="J17" s="782"/>
      <c r="K17" s="782"/>
      <c r="L17" s="782"/>
      <c r="M17" s="782"/>
      <c r="N17" s="782"/>
      <c r="O17" s="782"/>
      <c r="P17" s="65"/>
      <c r="Q17" s="782"/>
      <c r="R17" s="782"/>
      <c r="S17" s="782"/>
      <c r="T17" s="782"/>
      <c r="U17" s="782"/>
      <c r="V17" s="782"/>
      <c r="W17" s="782"/>
      <c r="X17" s="782"/>
      <c r="Y17" s="782"/>
      <c r="Z17" s="783"/>
      <c r="AA17" s="65"/>
      <c r="AB17" s="794" t="s">
        <v>724</v>
      </c>
      <c r="AC17" s="874" t="s">
        <v>926</v>
      </c>
    </row>
    <row r="18" spans="1:29" s="173" customFormat="1" ht="18.75" customHeight="1">
      <c r="A18" s="65"/>
      <c r="B18" s="784"/>
      <c r="C18" s="795"/>
      <c r="D18" s="786"/>
      <c r="E18" s="782"/>
      <c r="F18" s="782"/>
      <c r="G18" s="782"/>
      <c r="H18" s="782"/>
      <c r="I18" s="782"/>
      <c r="J18" s="782"/>
      <c r="K18" s="782"/>
      <c r="L18" s="782"/>
      <c r="M18" s="782"/>
      <c r="N18" s="782"/>
      <c r="O18" s="782"/>
      <c r="P18" s="797" t="s">
        <v>725</v>
      </c>
      <c r="Q18" s="782"/>
      <c r="R18" s="782"/>
      <c r="S18" s="782"/>
      <c r="T18" s="782"/>
      <c r="U18" s="782"/>
      <c r="V18" s="782"/>
      <c r="W18" s="782"/>
      <c r="X18" s="782"/>
      <c r="Y18" s="782"/>
      <c r="Z18" s="783"/>
      <c r="AA18" s="65"/>
      <c r="AB18" s="65"/>
      <c r="AC18" s="65"/>
    </row>
    <row r="19" spans="1:29" s="173" customFormat="1" ht="12" customHeight="1">
      <c r="A19" s="65"/>
      <c r="B19" s="784"/>
      <c r="C19" s="795"/>
      <c r="D19" s="786"/>
      <c r="E19" s="782"/>
      <c r="F19" s="782"/>
      <c r="G19" s="782"/>
      <c r="H19" s="782"/>
      <c r="I19" s="782"/>
      <c r="J19" s="782"/>
      <c r="K19" s="782"/>
      <c r="L19" s="782"/>
      <c r="M19" s="782"/>
      <c r="N19" s="782"/>
      <c r="O19" s="65"/>
      <c r="P19" s="797" t="str">
        <f>"Name: "&amp;(AC13)&amp;""</f>
        <v>Name:  </v>
      </c>
      <c r="Q19" s="782"/>
      <c r="R19" s="782"/>
      <c r="S19" s="782"/>
      <c r="T19" s="782"/>
      <c r="U19" s="782"/>
      <c r="V19" s="782"/>
      <c r="W19" s="782"/>
      <c r="X19" s="782"/>
      <c r="Y19" s="782"/>
      <c r="Z19" s="783"/>
      <c r="AA19" s="65"/>
      <c r="AB19" s="65"/>
      <c r="AC19" s="65"/>
    </row>
    <row r="20" spans="1:29" s="173" customFormat="1" ht="11.25" customHeight="1">
      <c r="A20" s="65"/>
      <c r="B20" s="780"/>
      <c r="C20" s="781"/>
      <c r="D20" s="781"/>
      <c r="E20" s="781"/>
      <c r="F20" s="781"/>
      <c r="G20" s="781"/>
      <c r="H20" s="781"/>
      <c r="I20" s="781"/>
      <c r="J20" s="781"/>
      <c r="K20" s="781"/>
      <c r="L20" s="781"/>
      <c r="M20" s="781"/>
      <c r="N20" s="781"/>
      <c r="O20" s="781"/>
      <c r="P20" s="781"/>
      <c r="Q20" s="781"/>
      <c r="R20" s="781"/>
      <c r="S20" s="781"/>
      <c r="T20" s="781"/>
      <c r="U20" s="781"/>
      <c r="V20" s="781"/>
      <c r="W20" s="781"/>
      <c r="X20" s="781"/>
      <c r="Y20" s="782"/>
      <c r="Z20" s="783"/>
      <c r="AA20" s="65"/>
      <c r="AB20" s="65"/>
      <c r="AC20" s="65"/>
    </row>
    <row r="21" spans="1:29" s="173" customFormat="1" ht="15" customHeight="1">
      <c r="A21" s="65"/>
      <c r="B21" s="784"/>
      <c r="C21" s="781"/>
      <c r="D21" s="786"/>
      <c r="E21" s="782"/>
      <c r="F21" s="782"/>
      <c r="G21" s="782"/>
      <c r="H21" s="782"/>
      <c r="I21" s="782"/>
      <c r="J21" s="782"/>
      <c r="K21" s="782"/>
      <c r="L21" s="782"/>
      <c r="M21" s="782"/>
      <c r="N21" s="782"/>
      <c r="O21" s="782"/>
      <c r="P21" s="782"/>
      <c r="Q21" s="782"/>
      <c r="R21" s="782"/>
      <c r="S21" s="782"/>
      <c r="T21" s="782"/>
      <c r="U21" s="782"/>
      <c r="V21" s="782"/>
      <c r="W21" s="782"/>
      <c r="X21" s="782"/>
      <c r="Y21" s="782"/>
      <c r="Z21" s="783"/>
      <c r="AA21" s="65"/>
      <c r="AB21" s="65"/>
      <c r="AC21" s="65"/>
    </row>
    <row r="22" spans="1:29" s="173" customFormat="1" ht="3.75" customHeight="1">
      <c r="A22" s="65"/>
      <c r="B22" s="784"/>
      <c r="C22" s="781"/>
      <c r="D22" s="786"/>
      <c r="E22" s="782"/>
      <c r="F22" s="782"/>
      <c r="G22" s="782"/>
      <c r="H22" s="782"/>
      <c r="I22" s="782"/>
      <c r="J22" s="782"/>
      <c r="K22" s="782"/>
      <c r="L22" s="782"/>
      <c r="M22" s="782"/>
      <c r="N22" s="782"/>
      <c r="O22" s="782"/>
      <c r="P22" s="782"/>
      <c r="Q22" s="782"/>
      <c r="R22" s="782"/>
      <c r="S22" s="782"/>
      <c r="T22" s="782"/>
      <c r="U22" s="782"/>
      <c r="V22" s="782"/>
      <c r="W22" s="782"/>
      <c r="X22" s="782"/>
      <c r="Y22" s="782"/>
      <c r="Z22" s="783"/>
      <c r="AA22" s="65"/>
      <c r="AB22" s="65"/>
      <c r="AC22" s="65"/>
    </row>
    <row r="23" spans="1:29" s="173" customFormat="1" ht="11.25" customHeight="1">
      <c r="A23" s="65"/>
      <c r="B23" s="784"/>
      <c r="C23" s="781"/>
      <c r="D23" s="786"/>
      <c r="E23" s="782"/>
      <c r="F23" s="782"/>
      <c r="G23" s="782"/>
      <c r="H23" s="782"/>
      <c r="I23" s="782"/>
      <c r="J23" s="782"/>
      <c r="K23" s="782"/>
      <c r="L23" s="782"/>
      <c r="M23" s="782"/>
      <c r="N23" s="782"/>
      <c r="O23" s="782"/>
      <c r="P23" s="782"/>
      <c r="Q23" s="782"/>
      <c r="R23" s="782"/>
      <c r="S23" s="782"/>
      <c r="T23" s="782"/>
      <c r="U23" s="782"/>
      <c r="V23" s="782"/>
      <c r="W23" s="782"/>
      <c r="X23" s="782"/>
      <c r="Y23" s="782"/>
      <c r="Z23" s="783"/>
      <c r="AA23" s="65"/>
      <c r="AB23" s="65"/>
      <c r="AC23" s="65"/>
    </row>
    <row r="24" spans="1:29" s="173" customFormat="1" ht="15" customHeight="1">
      <c r="A24" s="65"/>
      <c r="B24" s="784"/>
      <c r="C24" s="781"/>
      <c r="D24" s="786"/>
      <c r="E24" s="782"/>
      <c r="F24" s="782"/>
      <c r="G24" s="782"/>
      <c r="H24" s="782"/>
      <c r="I24" s="782"/>
      <c r="J24" s="782"/>
      <c r="K24" s="782"/>
      <c r="L24" s="782"/>
      <c r="M24" s="782"/>
      <c r="N24" s="782"/>
      <c r="O24" s="782"/>
      <c r="P24" s="782"/>
      <c r="Q24" s="782"/>
      <c r="R24" s="782"/>
      <c r="S24" s="782"/>
      <c r="T24" s="782"/>
      <c r="U24" s="782"/>
      <c r="V24" s="782"/>
      <c r="W24" s="782"/>
      <c r="X24" s="782"/>
      <c r="Y24" s="782"/>
      <c r="Z24" s="783"/>
      <c r="AA24" s="65"/>
      <c r="AB24" s="65"/>
      <c r="AC24" s="65"/>
    </row>
    <row r="25" spans="1:29" s="173" customFormat="1" ht="15.75" customHeight="1">
      <c r="A25" s="65"/>
      <c r="B25" s="784"/>
      <c r="C25" s="781"/>
      <c r="D25" s="786"/>
      <c r="E25" s="782"/>
      <c r="F25" s="782"/>
      <c r="G25" s="782"/>
      <c r="H25" s="782"/>
      <c r="I25" s="782"/>
      <c r="J25" s="782"/>
      <c r="K25" s="782"/>
      <c r="L25" s="782"/>
      <c r="M25" s="782"/>
      <c r="N25" s="782"/>
      <c r="O25" s="782"/>
      <c r="P25" s="782"/>
      <c r="Q25" s="782"/>
      <c r="R25" s="782"/>
      <c r="S25" s="782"/>
      <c r="T25" s="782"/>
      <c r="U25" s="782"/>
      <c r="V25" s="782"/>
      <c r="W25" s="782"/>
      <c r="X25" s="782"/>
      <c r="Y25" s="782"/>
      <c r="Z25" s="783"/>
      <c r="AA25" s="65"/>
      <c r="AB25" s="65"/>
      <c r="AC25" s="65"/>
    </row>
    <row r="26" spans="1:29" s="173" customFormat="1" ht="15.75" customHeight="1">
      <c r="A26" s="65"/>
      <c r="B26" s="784"/>
      <c r="C26" s="781"/>
      <c r="D26" s="786"/>
      <c r="E26" s="782"/>
      <c r="F26" s="782"/>
      <c r="G26" s="782"/>
      <c r="H26" s="782"/>
      <c r="I26" s="782"/>
      <c r="J26" s="782"/>
      <c r="K26" s="782"/>
      <c r="L26" s="782"/>
      <c r="M26" s="782"/>
      <c r="N26" s="782"/>
      <c r="O26" s="782"/>
      <c r="P26" s="782"/>
      <c r="Q26" s="782"/>
      <c r="R26" s="782"/>
      <c r="S26" s="782"/>
      <c r="T26" s="782"/>
      <c r="U26" s="782"/>
      <c r="V26" s="782"/>
      <c r="W26" s="782"/>
      <c r="X26" s="782"/>
      <c r="Y26" s="782"/>
      <c r="Z26" s="783"/>
      <c r="AA26" s="65"/>
      <c r="AB26" s="65"/>
      <c r="AC26" s="65"/>
    </row>
    <row r="27" spans="1:29" s="173" customFormat="1" ht="22.5" customHeight="1">
      <c r="A27" s="65"/>
      <c r="B27" s="798"/>
      <c r="C27" s="799"/>
      <c r="D27" s="800"/>
      <c r="E27" s="801"/>
      <c r="F27" s="801"/>
      <c r="G27" s="801"/>
      <c r="H27" s="801"/>
      <c r="I27" s="801"/>
      <c r="J27" s="801"/>
      <c r="K27" s="801"/>
      <c r="L27" s="801"/>
      <c r="M27" s="801"/>
      <c r="N27" s="801"/>
      <c r="O27" s="801"/>
      <c r="P27" s="801"/>
      <c r="Q27" s="801"/>
      <c r="R27" s="801"/>
      <c r="S27" s="801"/>
      <c r="T27" s="801"/>
      <c r="U27" s="801"/>
      <c r="V27" s="801"/>
      <c r="W27" s="801"/>
      <c r="X27" s="801"/>
      <c r="Y27" s="801"/>
      <c r="Z27" s="802"/>
      <c r="AA27" s="65"/>
      <c r="AB27" s="65"/>
      <c r="AC27" s="65"/>
    </row>
    <row r="28" spans="1:29" s="173" customFormat="1" ht="15" customHeight="1">
      <c r="A28" s="65"/>
      <c r="B28" s="803"/>
      <c r="C28" s="803"/>
      <c r="D28" s="803"/>
      <c r="E28" s="804"/>
      <c r="F28" s="804"/>
      <c r="G28" s="804"/>
      <c r="H28" s="804"/>
      <c r="I28" s="804"/>
      <c r="J28" s="804"/>
      <c r="K28" s="804"/>
      <c r="L28" s="804"/>
      <c r="M28" s="804" t="s">
        <v>569</v>
      </c>
      <c r="N28" s="804"/>
      <c r="O28" s="804"/>
      <c r="P28" s="804"/>
      <c r="Q28" s="804"/>
      <c r="R28" s="804"/>
      <c r="S28" s="804"/>
      <c r="T28" s="804"/>
      <c r="U28" s="804"/>
      <c r="V28" s="804"/>
      <c r="W28" s="804"/>
      <c r="X28" s="804"/>
      <c r="Y28" s="804"/>
      <c r="Z28" s="804"/>
      <c r="AA28" s="65"/>
      <c r="AB28" s="65"/>
      <c r="AC28" s="65"/>
    </row>
    <row r="29" spans="1:29" s="173" customFormat="1" ht="15" customHeight="1">
      <c r="A29" s="65"/>
      <c r="B29" s="805"/>
      <c r="C29" s="805"/>
      <c r="D29" s="805"/>
      <c r="E29" s="253"/>
      <c r="F29" s="253"/>
      <c r="G29" s="253"/>
      <c r="H29" s="253"/>
      <c r="I29" s="253"/>
      <c r="J29" s="253"/>
      <c r="K29" s="253"/>
      <c r="L29" s="253"/>
      <c r="M29" s="253"/>
      <c r="N29" s="253"/>
      <c r="O29" s="253"/>
      <c r="P29" s="253"/>
      <c r="Q29" s="253"/>
      <c r="R29" s="253"/>
      <c r="S29" s="253"/>
      <c r="T29" s="253"/>
      <c r="U29" s="253"/>
      <c r="V29" s="253"/>
      <c r="W29" s="253"/>
      <c r="X29" s="253"/>
      <c r="Y29" s="253"/>
      <c r="Z29" s="253"/>
      <c r="AA29" s="65"/>
      <c r="AB29" s="65"/>
      <c r="AC29" s="65"/>
    </row>
    <row r="30" spans="1:29" s="173" customFormat="1" ht="15" customHeight="1">
      <c r="A30" s="65"/>
      <c r="B30" s="805"/>
      <c r="C30" s="805"/>
      <c r="D30" s="805"/>
      <c r="E30" s="253"/>
      <c r="F30" s="253"/>
      <c r="G30" s="253"/>
      <c r="H30" s="253"/>
      <c r="I30" s="253"/>
      <c r="J30" s="253"/>
      <c r="K30" s="253"/>
      <c r="L30" s="253"/>
      <c r="M30" s="253"/>
      <c r="N30" s="253"/>
      <c r="O30" s="253"/>
      <c r="P30" s="253"/>
      <c r="Q30" s="253"/>
      <c r="R30" s="253"/>
      <c r="S30" s="253"/>
      <c r="T30" s="253"/>
      <c r="U30" s="253"/>
      <c r="V30" s="253"/>
      <c r="W30" s="253"/>
      <c r="X30" s="253"/>
      <c r="Y30" s="253"/>
      <c r="Z30" s="253"/>
      <c r="AA30" s="65"/>
      <c r="AB30" s="65"/>
      <c r="AC30" s="65"/>
    </row>
    <row r="31" spans="1:29" s="173" customFormat="1" ht="15" customHeight="1">
      <c r="A31" s="65"/>
      <c r="B31" s="805"/>
      <c r="C31" s="805"/>
      <c r="D31" s="805"/>
      <c r="E31" s="253"/>
      <c r="F31" s="253"/>
      <c r="G31" s="253"/>
      <c r="H31" s="253"/>
      <c r="I31" s="253"/>
      <c r="J31" s="253"/>
      <c r="K31" s="253"/>
      <c r="L31" s="253"/>
      <c r="M31" s="253"/>
      <c r="N31" s="253"/>
      <c r="O31" s="253"/>
      <c r="P31" s="253"/>
      <c r="Q31" s="253"/>
      <c r="R31" s="253"/>
      <c r="S31" s="253"/>
      <c r="T31" s="253"/>
      <c r="U31" s="253"/>
      <c r="V31" s="253"/>
      <c r="W31" s="253"/>
      <c r="X31" s="253"/>
      <c r="Y31" s="253"/>
      <c r="Z31" s="253"/>
      <c r="AA31" s="65"/>
      <c r="AB31" s="65"/>
      <c r="AC31" s="65"/>
    </row>
    <row r="32" spans="1:29" s="173" customFormat="1" ht="15" customHeight="1">
      <c r="A32" s="65"/>
      <c r="B32" s="805"/>
      <c r="C32" s="264"/>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65"/>
      <c r="AB32" s="65"/>
      <c r="AC32" s="65"/>
    </row>
    <row r="33" spans="1:29" s="173" customFormat="1" ht="12.75" customHeight="1">
      <c r="A33" s="65"/>
      <c r="B33" s="805"/>
      <c r="C33" s="264" t="s">
        <v>726</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65"/>
      <c r="AB33" s="65"/>
      <c r="AC33" s="65"/>
    </row>
    <row r="34" spans="1:29" s="173" customFormat="1" ht="15" customHeight="1" hidden="1">
      <c r="A34" s="65"/>
      <c r="B34" s="805"/>
      <c r="C34" s="805"/>
      <c r="D34" s="805"/>
      <c r="E34" s="253"/>
      <c r="F34" s="253"/>
      <c r="G34" s="253"/>
      <c r="H34" s="253"/>
      <c r="I34" s="253"/>
      <c r="J34" s="253"/>
      <c r="K34" s="253"/>
      <c r="L34" s="253"/>
      <c r="M34" s="253"/>
      <c r="N34" s="253"/>
      <c r="O34" s="253"/>
      <c r="P34" s="253"/>
      <c r="Q34" s="253"/>
      <c r="R34" s="253"/>
      <c r="S34" s="253"/>
      <c r="T34" s="253"/>
      <c r="U34" s="253"/>
      <c r="V34" s="253"/>
      <c r="W34" s="253"/>
      <c r="X34" s="253"/>
      <c r="Y34" s="253"/>
      <c r="Z34" s="253"/>
      <c r="AA34" s="65"/>
      <c r="AB34" s="65"/>
      <c r="AC34" s="65"/>
    </row>
    <row r="35" spans="1:29" s="173" customFormat="1" ht="15" customHeight="1" hidden="1">
      <c r="A35" s="65"/>
      <c r="B35" s="805"/>
      <c r="C35" s="805"/>
      <c r="D35" s="805"/>
      <c r="E35" s="253"/>
      <c r="F35" s="253"/>
      <c r="G35" s="253"/>
      <c r="H35" s="253"/>
      <c r="I35" s="253"/>
      <c r="J35" s="253"/>
      <c r="K35" s="253"/>
      <c r="L35" s="253"/>
      <c r="M35" s="253"/>
      <c r="N35" s="253"/>
      <c r="O35" s="253"/>
      <c r="P35" s="253"/>
      <c r="Q35" s="253"/>
      <c r="R35" s="253"/>
      <c r="S35" s="253"/>
      <c r="T35" s="253"/>
      <c r="U35" s="253"/>
      <c r="V35" s="253"/>
      <c r="W35" s="253"/>
      <c r="X35" s="253"/>
      <c r="Y35" s="253"/>
      <c r="Z35" s="253"/>
      <c r="AA35" s="65"/>
      <c r="AB35" s="65"/>
      <c r="AC35" s="65"/>
    </row>
    <row r="36" spans="1:29" s="173" customFormat="1" ht="15" customHeight="1" hidden="1">
      <c r="A36" s="65"/>
      <c r="B36" s="805"/>
      <c r="C36" s="805"/>
      <c r="D36" s="805"/>
      <c r="E36" s="253"/>
      <c r="F36" s="253"/>
      <c r="G36" s="253"/>
      <c r="H36" s="253"/>
      <c r="I36" s="253"/>
      <c r="J36" s="253"/>
      <c r="K36" s="253"/>
      <c r="L36" s="253"/>
      <c r="M36" s="253"/>
      <c r="N36" s="253"/>
      <c r="O36" s="253"/>
      <c r="P36" s="253"/>
      <c r="Q36" s="253"/>
      <c r="R36" s="253"/>
      <c r="S36" s="253"/>
      <c r="T36" s="253"/>
      <c r="U36" s="253"/>
      <c r="V36" s="253"/>
      <c r="W36" s="253"/>
      <c r="X36" s="253"/>
      <c r="Y36" s="253"/>
      <c r="Z36" s="253"/>
      <c r="AA36" s="65"/>
      <c r="AB36" s="65"/>
      <c r="AC36" s="65"/>
    </row>
    <row r="37" spans="1:29" s="173" customFormat="1" ht="15" customHeight="1">
      <c r="A37" s="65"/>
      <c r="B37" s="805"/>
      <c r="C37" s="805"/>
      <c r="D37" s="805"/>
      <c r="E37" s="253"/>
      <c r="F37" s="253"/>
      <c r="G37" s="253"/>
      <c r="H37" s="253"/>
      <c r="I37" s="253"/>
      <c r="J37" s="253"/>
      <c r="K37" s="253"/>
      <c r="L37" s="253"/>
      <c r="M37" s="253"/>
      <c r="N37" s="253"/>
      <c r="O37" s="253"/>
      <c r="P37" s="253"/>
      <c r="Q37" s="253"/>
      <c r="R37" s="253"/>
      <c r="S37" s="253"/>
      <c r="T37" s="253"/>
      <c r="U37" s="253"/>
      <c r="V37" s="253"/>
      <c r="W37" s="253"/>
      <c r="X37" s="253"/>
      <c r="Y37" s="253"/>
      <c r="Z37" s="253"/>
      <c r="AA37" s="65"/>
      <c r="AB37" s="65"/>
      <c r="AC37" s="65"/>
    </row>
    <row r="38" spans="1:29" s="173" customFormat="1" ht="15" customHeight="1">
      <c r="A38" s="65"/>
      <c r="B38" s="778"/>
      <c r="C38" s="778"/>
      <c r="D38" s="778"/>
      <c r="E38" s="124"/>
      <c r="F38" s="124"/>
      <c r="G38" s="124"/>
      <c r="H38" s="124"/>
      <c r="I38" s="124"/>
      <c r="J38" s="124"/>
      <c r="K38" s="124"/>
      <c r="L38" s="124"/>
      <c r="M38" s="124"/>
      <c r="N38" s="124"/>
      <c r="O38" s="124"/>
      <c r="P38" s="124"/>
      <c r="Q38" s="124"/>
      <c r="R38" s="124"/>
      <c r="S38" s="124"/>
      <c r="T38" s="124"/>
      <c r="U38" s="124"/>
      <c r="V38" s="124"/>
      <c r="W38" s="65"/>
      <c r="X38" s="65"/>
      <c r="Y38" s="65"/>
      <c r="Z38" s="65"/>
      <c r="AA38" s="65"/>
      <c r="AB38" s="65"/>
      <c r="AC38" s="65"/>
    </row>
    <row r="39" spans="1:29" s="173" customFormat="1" ht="15" customHeight="1">
      <c r="A39" s="65"/>
      <c r="B39" s="778"/>
      <c r="C39" s="778"/>
      <c r="D39" s="778"/>
      <c r="E39" s="124"/>
      <c r="F39" s="124"/>
      <c r="G39" s="124"/>
      <c r="H39" s="124"/>
      <c r="I39" s="124"/>
      <c r="J39" s="124"/>
      <c r="K39" s="124"/>
      <c r="L39" s="124"/>
      <c r="M39" s="124"/>
      <c r="N39" s="124"/>
      <c r="O39" s="124"/>
      <c r="P39" s="124"/>
      <c r="Q39" s="124"/>
      <c r="R39" s="124"/>
      <c r="S39" s="124"/>
      <c r="T39" s="124"/>
      <c r="U39" s="124"/>
      <c r="V39" s="124"/>
      <c r="W39" s="65"/>
      <c r="X39" s="65"/>
      <c r="Y39" s="65"/>
      <c r="Z39" s="65"/>
      <c r="AA39" s="65"/>
      <c r="AB39" s="65"/>
      <c r="AC39" s="65"/>
    </row>
    <row r="40" spans="1:29" s="173" customFormat="1" ht="15" customHeight="1">
      <c r="A40" s="65"/>
      <c r="B40" s="778"/>
      <c r="C40" s="778"/>
      <c r="D40" s="778"/>
      <c r="E40" s="124"/>
      <c r="F40" s="124"/>
      <c r="G40" s="124"/>
      <c r="H40" s="124"/>
      <c r="I40" s="124"/>
      <c r="J40" s="124"/>
      <c r="K40" s="124"/>
      <c r="L40" s="124"/>
      <c r="M40" s="124"/>
      <c r="N40" s="124"/>
      <c r="O40" s="124"/>
      <c r="P40" s="124"/>
      <c r="Q40" s="124"/>
      <c r="R40" s="124"/>
      <c r="S40" s="124"/>
      <c r="T40" s="124"/>
      <c r="U40" s="124"/>
      <c r="V40" s="124"/>
      <c r="W40" s="65"/>
      <c r="X40" s="65"/>
      <c r="Y40" s="65"/>
      <c r="Z40" s="65"/>
      <c r="AA40" s="65"/>
      <c r="AB40" s="65"/>
      <c r="AC40" s="65"/>
    </row>
    <row r="41" spans="1:29" s="173" customFormat="1" ht="15"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row>
    <row r="42" spans="1:29" s="173" customFormat="1" ht="15"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row>
    <row r="43" spans="1:29" s="173" customFormat="1" ht="15"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row>
    <row r="44" spans="1:29" s="173" customFormat="1" ht="15"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row>
    <row r="45" spans="1:29" s="173" customFormat="1" ht="15"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row>
    <row r="46" spans="1:29" s="173" customFormat="1" ht="15"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row>
    <row r="47" spans="1:29" s="173" customFormat="1" ht="15"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row>
    <row r="48" spans="1:29" s="173" customFormat="1" ht="15"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row>
    <row r="49" spans="1:29" s="173" customFormat="1" ht="15"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row>
    <row r="50" spans="1:29" s="173" customFormat="1" ht="15"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row>
    <row r="51" spans="1:29" s="173" customFormat="1" ht="15"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row>
    <row r="52" spans="1:29" s="173" customFormat="1" ht="15"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row>
    <row r="53" spans="1:29" s="173" customFormat="1" ht="15"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row>
    <row r="54" spans="1:29" s="173" customFormat="1" ht="15"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row>
    <row r="55" spans="1:29" s="173" customFormat="1" ht="15"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row>
    <row r="56" spans="1:29" s="173" customFormat="1" ht="15"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row>
    <row r="57" spans="1:29" s="173" customFormat="1" ht="15"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row>
    <row r="58" spans="1:29" s="173" customFormat="1" ht="15"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row>
    <row r="59" spans="1:29" s="173" customFormat="1" ht="15"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row>
    <row r="60" spans="1:29" s="173" customFormat="1" ht="15"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row>
    <row r="61" spans="1:29" s="173" customFormat="1" ht="15"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row>
    <row r="62" spans="1:29" s="173" customFormat="1" ht="15"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row>
    <row r="63" spans="1:29" s="173" customFormat="1" ht="15"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row>
    <row r="64" spans="1:29" s="173" customFormat="1" ht="15"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row>
    <row r="65" spans="1:29" s="173" customFormat="1" ht="15"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row>
    <row r="66" spans="1:29" s="173" customFormat="1" ht="15"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row>
    <row r="67" spans="1:29" s="173" customFormat="1" ht="15"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row>
    <row r="68" spans="1:29" s="173" customFormat="1" ht="15"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row>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sheetData>
  <sheetProtection selectLockedCells="1" selectUnlockedCells="1"/>
  <mergeCells count="4">
    <mergeCell ref="B4:Z4"/>
    <mergeCell ref="B5:Z5"/>
    <mergeCell ref="C8:X13"/>
    <mergeCell ref="AB9:AC11"/>
  </mergeCells>
  <hyperlinks>
    <hyperlink ref="M28" r:id="rId1" display="www.stuapkurnool.blogspot.com"/>
  </hyperlinks>
  <printOptions horizontalCentered="1" verticalCentered="1"/>
  <pageMargins left="0.32013888888888886" right="0.25" top="0.7479166666666667" bottom="0.7479166666666667" header="0.5118055555555555" footer="0.5118055555555555"/>
  <pageSetup horizontalDpi="300" verticalDpi="300" orientation="portrait" paperSize="9"/>
  <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welcome</cp:lastModifiedBy>
  <dcterms:modified xsi:type="dcterms:W3CDTF">2015-01-03T17:07:59Z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